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man\Dropbox\"/>
    </mc:Choice>
  </mc:AlternateContent>
  <workbookProtection workbookAlgorithmName="SHA-512" workbookHashValue="d0rDA74WvV4RuCJegT023dtZMMZMDv1CkjAwJYKu7Ovrou48jyY+o0vycbWv08aoLtOlvVhG979xGPemn2Uagg==" workbookSaltValue="lBXZ69deAwcgcIUBMdc8mQ==" workbookSpinCount="100000" lockStructure="1"/>
  <bookViews>
    <workbookView xWindow="0" yWindow="0" windowWidth="20490" windowHeight="7890" tabRatio="858" xr2:uid="{00000000-000D-0000-FFFF-FFFF00000000}"/>
  </bookViews>
  <sheets>
    <sheet name="INFO" sheetId="3" r:id="rId1"/>
    <sheet name="ANNEXURE I" sheetId="4" r:id="rId2"/>
    <sheet name="ANNEXURE II" sheetId="6" r:id="rId3"/>
    <sheet name="FORM16_FRONT" sheetId="7" r:id="rId4"/>
    <sheet name="FORM16_BACK" sheetId="8" r:id="rId5"/>
    <sheet name="FORM_12BB" sheetId="10" r:id="rId6"/>
    <sheet name="RENT RECEIPT" sheetId="9" r:id="rId7"/>
    <sheet name="NUM_WORD_RENT" sheetId="15" state="hidden" r:id="rId8"/>
    <sheet name="NUM_WORD_TAX" sheetId="16" state="hidden" r:id="rId9"/>
  </sheets>
  <definedNames>
    <definedName name="_xlnm._FilterDatabase" localSheetId="0" hidden="1">INFO!$B$47:$C$49</definedName>
    <definedName name="AAS">INFO!$AA$32:$AA$43</definedName>
    <definedName name="AHRA_MONTHS">INFO!$AB$32:$AB$44</definedName>
    <definedName name="APGLI">INFO!$AH$22:$AH$28</definedName>
    <definedName name="BASIC_PAY">INFO!$AQ$2:$AQ$82</definedName>
    <definedName name="CCA">INFO!$AK$32:$AK$42</definedName>
    <definedName name="DAYS">INFO!$Y$27:$Y$58</definedName>
    <definedName name="DAYS_30">INFO!$Y$27:$Y$57</definedName>
    <definedName name="DDO">INFO!$AH$33:$AH$36</definedName>
    <definedName name="DESIGNATION">INFO!$AD$73:$AD$83</definedName>
    <definedName name="DISTRICT">INFO!$AF$32:$AF$44</definedName>
    <definedName name="EHS">INFO!$Z$22:$Z$24</definedName>
    <definedName name="EL">INFO!$AF$22:$AF$24</definedName>
    <definedName name="EMP_TYPE">INFO!$X$23:$X$24</definedName>
    <definedName name="EMPTY">INFO!$W$23:$W$24</definedName>
    <definedName name="GIS">INFO!$AB$22:$AB$26</definedName>
    <definedName name="HMA">INFO!$AC$22:$AC$26</definedName>
    <definedName name="HPL">INFO!$AD$32:$AD$44</definedName>
    <definedName name="HRA">INFO!$AE$22:$AE$26</definedName>
    <definedName name="HRA_NO_CHANGE">INFO!$AC$32:$AC$43</definedName>
    <definedName name="INC_MONTHS">INFO!$AA$32:$AA$43</definedName>
    <definedName name="MONTHS">INFO!$AC$32:$AC$43</definedName>
    <definedName name="MONTHS_12">INFO!#REF!</definedName>
    <definedName name="MONTHS_EL">INFO!$AE$32:$AE$44</definedName>
    <definedName name="OFFICE">INFO!$AM$55:$AM$69</definedName>
    <definedName name="P.TAX">INFO!$AA$22:$AA$24</definedName>
    <definedName name="PRINT_INFO" localSheetId="0">INFO!$B$1:$S$94</definedName>
    <definedName name="RA">INFO!$AG$22:$AG$25</definedName>
    <definedName name="RENT">INFO!$Z$27:$Z$83</definedName>
    <definedName name="SAVINGS_OTHERS">INFO!$AA$55:$AA$71</definedName>
    <definedName name="YES_NO">INFO!$Y$23:$Y$24</definedName>
  </definedNames>
  <calcPr calcId="171026"/>
</workbook>
</file>

<file path=xl/calcChain.xml><?xml version="1.0" encoding="utf-8"?>
<calcChain xmlns="http://schemas.openxmlformats.org/spreadsheetml/2006/main">
  <c r="B43" i="3" l="1"/>
  <c r="I15" i="3"/>
  <c r="B33" i="3"/>
  <c r="F33" i="3"/>
  <c r="B34" i="3"/>
  <c r="E31" i="3"/>
  <c r="E33" i="3"/>
  <c r="F31" i="3"/>
  <c r="I27" i="3"/>
  <c r="AM42" i="3"/>
  <c r="J12" i="3"/>
  <c r="AM43" i="3"/>
  <c r="J13" i="3"/>
  <c r="AM32" i="3"/>
  <c r="AE2" i="3"/>
  <c r="J2" i="3"/>
  <c r="U2" i="3"/>
  <c r="AM33" i="3"/>
  <c r="J3" i="3"/>
  <c r="AM34" i="3"/>
  <c r="J4" i="3"/>
  <c r="N2" i="3"/>
  <c r="N3" i="3"/>
  <c r="S6" i="4"/>
  <c r="AM35" i="3"/>
  <c r="J5" i="3"/>
  <c r="AM36" i="3"/>
  <c r="J6" i="3"/>
  <c r="U6" i="3"/>
  <c r="AM37" i="3"/>
  <c r="J7" i="3"/>
  <c r="AM38" i="3"/>
  <c r="J8" i="3"/>
  <c r="AM39" i="3"/>
  <c r="J9" i="3"/>
  <c r="AM40" i="3"/>
  <c r="J10" i="3"/>
  <c r="AM41" i="3"/>
  <c r="J11" i="3"/>
  <c r="D26" i="6"/>
  <c r="I90" i="3"/>
  <c r="U1" i="3"/>
  <c r="U3" i="3"/>
  <c r="U5" i="3"/>
  <c r="U7" i="3"/>
  <c r="U9" i="3"/>
  <c r="U11" i="3"/>
  <c r="L23" i="4"/>
  <c r="W23" i="4"/>
  <c r="L22" i="4"/>
  <c r="V22" i="4"/>
  <c r="W22" i="4"/>
  <c r="O23" i="3"/>
  <c r="O22" i="3"/>
  <c r="W19" i="4"/>
  <c r="M1" i="3"/>
  <c r="N1" i="3"/>
  <c r="P20" i="3"/>
  <c r="M4" i="4"/>
  <c r="W2" i="3"/>
  <c r="T6" i="4"/>
  <c r="T7" i="4"/>
  <c r="T8" i="4"/>
  <c r="T9" i="4"/>
  <c r="T10" i="4"/>
  <c r="T11" i="4"/>
  <c r="T12" i="4"/>
  <c r="T13" i="4"/>
  <c r="T14" i="4"/>
  <c r="T15" i="4"/>
  <c r="T16" i="4"/>
  <c r="T5" i="4"/>
  <c r="T4" i="4"/>
  <c r="P2" i="3"/>
  <c r="P3" i="3"/>
  <c r="I6" i="4"/>
  <c r="P4" i="3"/>
  <c r="I7" i="4"/>
  <c r="P5" i="3"/>
  <c r="I8" i="4"/>
  <c r="X33" i="3"/>
  <c r="Q2" i="3"/>
  <c r="AE4" i="3"/>
  <c r="X6" i="3"/>
  <c r="X7" i="3"/>
  <c r="AA40" i="3"/>
  <c r="Y2" i="3"/>
  <c r="AG2" i="3"/>
  <c r="X2" i="3"/>
  <c r="AB2" i="3"/>
  <c r="AA2" i="3"/>
  <c r="X3" i="3"/>
  <c r="Z3" i="3"/>
  <c r="Y3" i="3"/>
  <c r="AB3" i="3"/>
  <c r="AA3" i="3"/>
  <c r="AG3" i="3"/>
  <c r="X4" i="3"/>
  <c r="Z4" i="3"/>
  <c r="Y4" i="3"/>
  <c r="AB4" i="3"/>
  <c r="AA4" i="3"/>
  <c r="AG4" i="3"/>
  <c r="X5" i="3"/>
  <c r="Z5" i="3"/>
  <c r="Y5" i="3"/>
  <c r="AB5" i="3"/>
  <c r="AA5" i="3"/>
  <c r="AG5" i="3"/>
  <c r="AK2" i="3"/>
  <c r="D5" i="4"/>
  <c r="Y5" i="4"/>
  <c r="O2" i="3"/>
  <c r="H5" i="4"/>
  <c r="O3" i="3"/>
  <c r="H6" i="4"/>
  <c r="O4" i="3"/>
  <c r="H7" i="4"/>
  <c r="O5" i="3"/>
  <c r="H8" i="4"/>
  <c r="O6" i="3"/>
  <c r="H9" i="4"/>
  <c r="O7" i="3"/>
  <c r="H10" i="4"/>
  <c r="O8" i="3"/>
  <c r="H11" i="4"/>
  <c r="O9" i="3"/>
  <c r="H12" i="4"/>
  <c r="O10" i="3"/>
  <c r="H13" i="4"/>
  <c r="O11" i="3"/>
  <c r="H14" i="4"/>
  <c r="O12" i="3"/>
  <c r="H15" i="4"/>
  <c r="O13" i="3"/>
  <c r="H16" i="4"/>
  <c r="J5" i="4"/>
  <c r="K5" i="4"/>
  <c r="AE3" i="3"/>
  <c r="AD2" i="3"/>
  <c r="AD3" i="3"/>
  <c r="Y6" i="4"/>
  <c r="K6" i="4"/>
  <c r="Y7" i="4"/>
  <c r="K7" i="4"/>
  <c r="K8" i="4"/>
  <c r="K9" i="4"/>
  <c r="K10" i="4"/>
  <c r="K11" i="4"/>
  <c r="K12" i="4"/>
  <c r="K13" i="4"/>
  <c r="K14" i="4"/>
  <c r="K15" i="4"/>
  <c r="K16" i="4"/>
  <c r="Y8" i="4"/>
  <c r="Z6" i="3"/>
  <c r="Y9" i="4"/>
  <c r="Z7" i="3"/>
  <c r="Y10" i="4"/>
  <c r="Z8" i="3"/>
  <c r="Y11" i="4"/>
  <c r="AE9" i="3"/>
  <c r="Z9" i="3"/>
  <c r="Y12" i="4"/>
  <c r="Z10" i="3"/>
  <c r="Y13" i="4"/>
  <c r="X11" i="3"/>
  <c r="Z11" i="3"/>
  <c r="Y14" i="4"/>
  <c r="Z12" i="3"/>
  <c r="Y15" i="4"/>
  <c r="Z13" i="3"/>
  <c r="Y16" i="4"/>
  <c r="E17" i="4"/>
  <c r="L17" i="4"/>
  <c r="E18" i="4"/>
  <c r="L18" i="4"/>
  <c r="E19" i="4"/>
  <c r="L19" i="4"/>
  <c r="B5" i="4"/>
  <c r="H13" i="7"/>
  <c r="B12" i="4"/>
  <c r="AD17" i="3"/>
  <c r="AD18" i="3"/>
  <c r="AD19" i="3"/>
  <c r="AE19" i="3"/>
  <c r="AH17" i="3"/>
  <c r="AG19" i="3"/>
  <c r="F10" i="6"/>
  <c r="G8" i="6"/>
  <c r="AN2" i="3"/>
  <c r="P5" i="4"/>
  <c r="H17" i="6"/>
  <c r="H18" i="6"/>
  <c r="H19" i="6"/>
  <c r="R5" i="4"/>
  <c r="R14" i="4"/>
  <c r="H23" i="6"/>
  <c r="F43" i="10"/>
  <c r="G43" i="10"/>
  <c r="H24" i="6"/>
  <c r="F44" i="10"/>
  <c r="G44" i="10"/>
  <c r="H25" i="6"/>
  <c r="F45" i="10"/>
  <c r="G45" i="10"/>
  <c r="H26" i="6"/>
  <c r="F46" i="10"/>
  <c r="G46" i="10"/>
  <c r="AO2" i="3"/>
  <c r="Q5" i="4"/>
  <c r="AL2" i="3"/>
  <c r="N5" i="4"/>
  <c r="AM2" i="3"/>
  <c r="O5" i="4"/>
  <c r="U5" i="4"/>
  <c r="U9" i="4"/>
  <c r="U12" i="4"/>
  <c r="U16" i="4"/>
  <c r="M17" i="4"/>
  <c r="V17" i="4"/>
  <c r="P21" i="3"/>
  <c r="M18" i="4"/>
  <c r="V18" i="4"/>
  <c r="P22" i="3"/>
  <c r="M19" i="4"/>
  <c r="V19" i="4"/>
  <c r="H35" i="6"/>
  <c r="F33" i="10"/>
  <c r="G33" i="10"/>
  <c r="H36" i="6"/>
  <c r="H37" i="6"/>
  <c r="F35" i="10"/>
  <c r="G35" i="10"/>
  <c r="H38" i="6"/>
  <c r="F36" i="10"/>
  <c r="G36" i="10"/>
  <c r="H39" i="6"/>
  <c r="F37" i="10"/>
  <c r="G37" i="10"/>
  <c r="H40" i="6"/>
  <c r="F38" i="10"/>
  <c r="G38" i="10"/>
  <c r="E34" i="8"/>
  <c r="H42" i="8"/>
  <c r="AM45" i="3"/>
  <c r="X15" i="3"/>
  <c r="AM44" i="3"/>
  <c r="AE14" i="3"/>
  <c r="Z14" i="3"/>
  <c r="H56" i="6"/>
  <c r="H59" i="6"/>
  <c r="H58" i="6"/>
  <c r="H57" i="6"/>
  <c r="U6" i="4"/>
  <c r="U7" i="4"/>
  <c r="U8" i="4"/>
  <c r="U10" i="4"/>
  <c r="U11" i="4"/>
  <c r="U13" i="4"/>
  <c r="U14" i="4"/>
  <c r="U15" i="4"/>
  <c r="B51" i="10"/>
  <c r="E2" i="15"/>
  <c r="H17" i="15"/>
  <c r="H7" i="7"/>
  <c r="B5" i="6"/>
  <c r="C2" i="4"/>
  <c r="B29" i="3"/>
  <c r="J60" i="3"/>
  <c r="AC39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32" i="3"/>
  <c r="C3" i="4"/>
  <c r="B18" i="3"/>
  <c r="E15" i="3"/>
  <c r="B32" i="3"/>
  <c r="B25" i="3"/>
  <c r="B39" i="3"/>
  <c r="B101" i="3"/>
  <c r="K99" i="3"/>
  <c r="C29" i="9"/>
  <c r="J13" i="7"/>
  <c r="B26" i="3"/>
  <c r="B23" i="3"/>
  <c r="B76" i="3"/>
  <c r="B75" i="3"/>
  <c r="B74" i="3"/>
  <c r="B72" i="3"/>
  <c r="B71" i="3"/>
  <c r="B70" i="3"/>
  <c r="B68" i="3"/>
  <c r="B67" i="3"/>
  <c r="B66" i="3"/>
  <c r="B63" i="3"/>
  <c r="B62" i="3"/>
  <c r="B60" i="3"/>
  <c r="B59" i="3"/>
  <c r="B56" i="3"/>
  <c r="B55" i="3"/>
  <c r="B52" i="3"/>
  <c r="B51" i="3"/>
  <c r="B49" i="3"/>
  <c r="B48" i="3"/>
  <c r="B46" i="3"/>
  <c r="B45" i="3"/>
  <c r="B42" i="3"/>
  <c r="B40" i="3"/>
  <c r="B37" i="3"/>
  <c r="B36" i="3"/>
  <c r="B24" i="3"/>
  <c r="B22" i="3"/>
  <c r="B21" i="3"/>
  <c r="B20" i="3"/>
  <c r="X22" i="4"/>
  <c r="Z15" i="3"/>
  <c r="V3" i="3"/>
  <c r="V4" i="3"/>
  <c r="V5" i="3"/>
  <c r="V6" i="3"/>
  <c r="V7" i="3"/>
  <c r="V8" i="3"/>
  <c r="V9" i="3"/>
  <c r="V10" i="3"/>
  <c r="V11" i="3"/>
  <c r="V12" i="3"/>
  <c r="V13" i="3"/>
  <c r="V2" i="3"/>
  <c r="G39" i="10"/>
  <c r="B5" i="10"/>
  <c r="B6" i="10"/>
  <c r="C14" i="10"/>
  <c r="F16" i="10"/>
  <c r="V20" i="4"/>
  <c r="N25" i="3"/>
  <c r="O25" i="3"/>
  <c r="Z2" i="3"/>
  <c r="B8" i="10"/>
  <c r="B7" i="10"/>
  <c r="F54" i="10"/>
  <c r="D54" i="10"/>
  <c r="D53" i="10"/>
  <c r="D52" i="10"/>
  <c r="E48" i="10"/>
  <c r="E47" i="10"/>
  <c r="E42" i="10"/>
  <c r="E30" i="10"/>
  <c r="E31" i="10"/>
  <c r="E29" i="10"/>
  <c r="F7" i="6"/>
  <c r="F4" i="6"/>
  <c r="F5" i="6"/>
  <c r="F6" i="6"/>
  <c r="I9" i="7"/>
  <c r="F9" i="7"/>
  <c r="X20" i="4"/>
  <c r="E22" i="9"/>
  <c r="F31" i="6"/>
  <c r="F32" i="6"/>
  <c r="F33" i="6"/>
  <c r="F39" i="6"/>
  <c r="D40" i="6"/>
  <c r="C42" i="9"/>
  <c r="E36" i="9"/>
  <c r="B36" i="9"/>
  <c r="C28" i="9"/>
  <c r="C27" i="9"/>
  <c r="C26" i="9"/>
  <c r="C24" i="9"/>
  <c r="D41" i="8"/>
  <c r="H46" i="8"/>
  <c r="H45" i="8"/>
  <c r="H44" i="8"/>
  <c r="D35" i="8"/>
  <c r="H43" i="8"/>
  <c r="H8" i="7"/>
  <c r="H6" i="7"/>
  <c r="B8" i="7"/>
  <c r="B7" i="7"/>
  <c r="B6" i="7"/>
  <c r="H6" i="6"/>
  <c r="H5" i="6"/>
  <c r="H4" i="6"/>
  <c r="B6" i="6"/>
  <c r="D4" i="6"/>
  <c r="C25" i="9"/>
  <c r="S4" i="4"/>
  <c r="B51" i="8"/>
  <c r="D42" i="8"/>
  <c r="D63" i="7"/>
  <c r="E40" i="7"/>
  <c r="E41" i="7"/>
  <c r="E42" i="7"/>
  <c r="D35" i="6"/>
  <c r="E44" i="7"/>
  <c r="D36" i="6"/>
  <c r="E34" i="10"/>
  <c r="D37" i="6"/>
  <c r="E35" i="10"/>
  <c r="D38" i="6"/>
  <c r="E47" i="7"/>
  <c r="D39" i="6"/>
  <c r="E48" i="7"/>
  <c r="E51" i="7"/>
  <c r="E54" i="7"/>
  <c r="D23" i="6"/>
  <c r="E43" i="10"/>
  <c r="D24" i="6"/>
  <c r="E44" i="10"/>
  <c r="D25" i="6"/>
  <c r="E45" i="10"/>
  <c r="E59" i="7"/>
  <c r="AP2" i="3"/>
  <c r="J34" i="7"/>
  <c r="J35" i="7"/>
  <c r="J36" i="7"/>
  <c r="I4" i="8"/>
  <c r="D35" i="7"/>
  <c r="D36" i="7"/>
  <c r="D34" i="7"/>
  <c r="J3" i="7"/>
  <c r="J21" i="7"/>
  <c r="J19" i="7"/>
  <c r="J18" i="7"/>
  <c r="W18" i="4"/>
  <c r="W17" i="4"/>
  <c r="G31" i="6"/>
  <c r="G39" i="6"/>
  <c r="G32" i="6"/>
  <c r="G33" i="6"/>
  <c r="H42" i="6"/>
  <c r="H51" i="7"/>
  <c r="I51" i="7"/>
  <c r="J51" i="7"/>
  <c r="B9" i="7"/>
  <c r="AD42" i="3"/>
  <c r="AB35" i="3"/>
  <c r="AE39" i="3"/>
  <c r="X40" i="3"/>
  <c r="AE40" i="3"/>
  <c r="AE41" i="3"/>
  <c r="AB41" i="3"/>
  <c r="X39" i="3"/>
  <c r="AA33" i="3"/>
  <c r="AA39" i="3"/>
  <c r="AE37" i="3"/>
  <c r="AD40" i="3"/>
  <c r="X41" i="3"/>
  <c r="AA41" i="3"/>
  <c r="AB37" i="3"/>
  <c r="AE33" i="3"/>
  <c r="AH18" i="3"/>
  <c r="AH19" i="3"/>
  <c r="AI19" i="3"/>
  <c r="AI20" i="3"/>
  <c r="B27" i="3"/>
  <c r="I5" i="4"/>
  <c r="P6" i="3"/>
  <c r="I9" i="4"/>
  <c r="AC43" i="3"/>
  <c r="AE13" i="3"/>
  <c r="AA43" i="3"/>
  <c r="AD38" i="3"/>
  <c r="B16" i="4"/>
  <c r="I13" i="7"/>
  <c r="AE5" i="3"/>
  <c r="AC35" i="3"/>
  <c r="AA35" i="3"/>
  <c r="AE36" i="3"/>
  <c r="AD36" i="3"/>
  <c r="B8" i="4"/>
  <c r="AB36" i="3"/>
  <c r="X35" i="3"/>
  <c r="AB38" i="3"/>
  <c r="X9" i="3"/>
  <c r="AB40" i="3"/>
  <c r="X13" i="3"/>
  <c r="AE44" i="3"/>
  <c r="AB44" i="3"/>
  <c r="X43" i="3"/>
  <c r="AD44" i="3"/>
  <c r="AE7" i="3"/>
  <c r="B10" i="4"/>
  <c r="AA37" i="3"/>
  <c r="AE38" i="3"/>
  <c r="X37" i="3"/>
  <c r="AC37" i="3"/>
  <c r="AE15" i="3"/>
  <c r="AB42" i="3"/>
  <c r="AE42" i="3"/>
  <c r="AC41" i="3"/>
  <c r="AE11" i="3"/>
  <c r="B14" i="4"/>
  <c r="D57" i="6"/>
  <c r="AC33" i="3"/>
  <c r="X8" i="3"/>
  <c r="AC2" i="3"/>
  <c r="X10" i="3"/>
  <c r="X38" i="3"/>
  <c r="AC38" i="3"/>
  <c r="AE8" i="3"/>
  <c r="B11" i="4"/>
  <c r="B6" i="4"/>
  <c r="B7" i="4"/>
  <c r="B9" i="4"/>
  <c r="B13" i="4"/>
  <c r="D56" i="6"/>
  <c r="B15" i="4"/>
  <c r="D58" i="6"/>
  <c r="AA38" i="3"/>
  <c r="AB33" i="3"/>
  <c r="AD33" i="3"/>
  <c r="AC40" i="3"/>
  <c r="AE10" i="3"/>
  <c r="AD37" i="3"/>
  <c r="AE6" i="3"/>
  <c r="AA36" i="3"/>
  <c r="X36" i="3"/>
  <c r="AD41" i="3"/>
  <c r="AC36" i="3"/>
  <c r="AB39" i="3"/>
  <c r="AD39" i="3"/>
  <c r="AA34" i="3"/>
  <c r="X34" i="3"/>
  <c r="AA42" i="3"/>
  <c r="AC34" i="3"/>
  <c r="AE12" i="3"/>
  <c r="X42" i="3"/>
  <c r="AE34" i="3"/>
  <c r="P7" i="3"/>
  <c r="P8" i="3"/>
  <c r="AE43" i="3"/>
  <c r="AB34" i="3"/>
  <c r="X14" i="3"/>
  <c r="AD35" i="3"/>
  <c r="AD43" i="3"/>
  <c r="AB43" i="3"/>
  <c r="W3" i="3"/>
  <c r="X12" i="3"/>
  <c r="AE35" i="3"/>
  <c r="AC42" i="3"/>
  <c r="AD34" i="3"/>
  <c r="I11" i="4"/>
  <c r="P9" i="3"/>
  <c r="I10" i="4"/>
  <c r="H47" i="7"/>
  <c r="I47" i="7"/>
  <c r="Q3" i="3"/>
  <c r="AM3" i="3"/>
  <c r="AK3" i="3"/>
  <c r="AP3" i="3"/>
  <c r="AO3" i="3"/>
  <c r="Q6" i="4"/>
  <c r="AN3" i="3"/>
  <c r="P6" i="4"/>
  <c r="AL3" i="3"/>
  <c r="N6" i="4"/>
  <c r="AN4" i="3"/>
  <c r="AP4" i="3"/>
  <c r="AP5" i="3"/>
  <c r="AP6" i="3"/>
  <c r="AP7" i="3"/>
  <c r="AP8" i="3"/>
  <c r="AP9" i="3"/>
  <c r="AP10" i="3"/>
  <c r="AP11" i="3"/>
  <c r="AP12" i="3"/>
  <c r="AP13" i="3"/>
  <c r="I12" i="4"/>
  <c r="P10" i="3"/>
  <c r="AO4" i="3"/>
  <c r="D6" i="4"/>
  <c r="AK4" i="3"/>
  <c r="P7" i="4"/>
  <c r="AN5" i="3"/>
  <c r="O6" i="4"/>
  <c r="AM4" i="3"/>
  <c r="J6" i="4"/>
  <c r="P11" i="3"/>
  <c r="I13" i="4"/>
  <c r="P8" i="4"/>
  <c r="AN6" i="3"/>
  <c r="O7" i="4"/>
  <c r="AM5" i="3"/>
  <c r="AK5" i="3"/>
  <c r="D7" i="4"/>
  <c r="AO5" i="3"/>
  <c r="Q7" i="4"/>
  <c r="P12" i="3"/>
  <c r="I14" i="4"/>
  <c r="P9" i="4"/>
  <c r="AN7" i="3"/>
  <c r="AK6" i="3"/>
  <c r="D8" i="4"/>
  <c r="AM6" i="3"/>
  <c r="O8" i="4"/>
  <c r="Q8" i="4"/>
  <c r="AO6" i="3"/>
  <c r="I15" i="4"/>
  <c r="P13" i="3"/>
  <c r="I16" i="4"/>
  <c r="P10" i="4"/>
  <c r="AN8" i="3"/>
  <c r="O9" i="4"/>
  <c r="AM7" i="3"/>
  <c r="AO7" i="3"/>
  <c r="Q9" i="4"/>
  <c r="AK7" i="3"/>
  <c r="D9" i="4"/>
  <c r="D10" i="4"/>
  <c r="AK8" i="3"/>
  <c r="D11" i="4"/>
  <c r="AK9" i="3"/>
  <c r="D12" i="4"/>
  <c r="AK10" i="3"/>
  <c r="D13" i="4"/>
  <c r="AK11" i="3"/>
  <c r="D14" i="4"/>
  <c r="AK12" i="3"/>
  <c r="D15" i="4"/>
  <c r="AK13" i="3"/>
  <c r="D16" i="4"/>
  <c r="AO8" i="3"/>
  <c r="Q10" i="4"/>
  <c r="O10" i="4"/>
  <c r="AM8" i="3"/>
  <c r="P11" i="4"/>
  <c r="AN9" i="3"/>
  <c r="P12" i="4"/>
  <c r="AN10" i="3"/>
  <c r="AO9" i="3"/>
  <c r="Q11" i="4"/>
  <c r="AM9" i="3"/>
  <c r="O11" i="4"/>
  <c r="AM10" i="3"/>
  <c r="O12" i="4"/>
  <c r="AN11" i="3"/>
  <c r="P13" i="4"/>
  <c r="Q12" i="4"/>
  <c r="AO10" i="3"/>
  <c r="AN12" i="3"/>
  <c r="P14" i="4"/>
  <c r="AO11" i="3"/>
  <c r="Q13" i="4"/>
  <c r="AM11" i="3"/>
  <c r="O13" i="4"/>
  <c r="AO12" i="3"/>
  <c r="Q14" i="4"/>
  <c r="AM12" i="3"/>
  <c r="O14" i="4"/>
  <c r="P15" i="4"/>
  <c r="AN13" i="3"/>
  <c r="P16" i="4"/>
  <c r="AM13" i="3"/>
  <c r="O16" i="4"/>
  <c r="O15" i="4"/>
  <c r="AO13" i="3"/>
  <c r="Q16" i="4"/>
  <c r="Q15" i="4"/>
  <c r="AH2" i="3"/>
  <c r="AJ2" i="3"/>
  <c r="AI2" i="3"/>
  <c r="K2" i="3"/>
  <c r="F2" i="3"/>
  <c r="G2" i="3"/>
  <c r="L2" i="3"/>
  <c r="X5" i="4"/>
  <c r="F5" i="4"/>
  <c r="U12" i="3"/>
  <c r="AF3" i="3"/>
  <c r="AJ3" i="3"/>
  <c r="AC3" i="3"/>
  <c r="AC4" i="3"/>
  <c r="AB6" i="3"/>
  <c r="AA6" i="3"/>
  <c r="AB7" i="3"/>
  <c r="AF5" i="3"/>
  <c r="AJ5" i="3"/>
  <c r="AC5" i="3"/>
  <c r="AB8" i="3"/>
  <c r="AA7" i="3"/>
  <c r="AF6" i="3"/>
  <c r="AJ6" i="3"/>
  <c r="AC6" i="3"/>
  <c r="AF7" i="3"/>
  <c r="AJ7" i="3"/>
  <c r="AC7" i="3"/>
  <c r="AA8" i="3"/>
  <c r="AB9" i="3"/>
  <c r="AA9" i="3"/>
  <c r="AB10" i="3"/>
  <c r="AF8" i="3"/>
  <c r="AJ8" i="3"/>
  <c r="AC8" i="3"/>
  <c r="AA10" i="3"/>
  <c r="AB11" i="3"/>
  <c r="AF9" i="3"/>
  <c r="AJ9" i="3"/>
  <c r="AC9" i="3"/>
  <c r="AB12" i="3"/>
  <c r="AA11" i="3"/>
  <c r="AC10" i="3"/>
  <c r="AC11" i="3"/>
  <c r="AA12" i="3"/>
  <c r="AC12" i="3"/>
  <c r="AB13" i="3"/>
  <c r="AA13" i="3"/>
  <c r="AC13" i="3"/>
  <c r="AC19" i="3"/>
  <c r="AE20" i="3"/>
  <c r="AF10" i="3"/>
  <c r="AJ10" i="3"/>
  <c r="AF11" i="3"/>
  <c r="AJ11" i="3"/>
  <c r="AF12" i="3"/>
  <c r="AJ12" i="3"/>
  <c r="AB14" i="3"/>
  <c r="AA14" i="3"/>
  <c r="AB15" i="3"/>
  <c r="AA15" i="3"/>
  <c r="AC15" i="3"/>
  <c r="AF4" i="3"/>
  <c r="AJ4" i="3"/>
  <c r="AF13" i="3"/>
  <c r="AJ13" i="3"/>
  <c r="L24" i="3"/>
  <c r="E21" i="4"/>
  <c r="AF14" i="3"/>
  <c r="AC14" i="3"/>
  <c r="Y6" i="3"/>
  <c r="W4" i="3"/>
  <c r="S5" i="4"/>
  <c r="U4" i="3"/>
  <c r="N4" i="3"/>
  <c r="E37" i="3"/>
  <c r="E36" i="3"/>
  <c r="B30" i="3"/>
  <c r="C30" i="3"/>
  <c r="F32" i="3"/>
  <c r="U13" i="3"/>
  <c r="W5" i="3"/>
  <c r="W6" i="3"/>
  <c r="W7" i="3"/>
  <c r="W8" i="3"/>
  <c r="W9" i="3"/>
  <c r="W10" i="3"/>
  <c r="M24" i="3"/>
  <c r="F21" i="4"/>
  <c r="Q4" i="3"/>
  <c r="U10" i="3"/>
  <c r="U8" i="3"/>
  <c r="P24" i="3"/>
  <c r="M21" i="4"/>
  <c r="V21" i="4"/>
  <c r="J7" i="4"/>
  <c r="Q5" i="3"/>
  <c r="N5" i="3"/>
  <c r="S8" i="4"/>
  <c r="S7" i="4"/>
  <c r="J8" i="4"/>
  <c r="Q6" i="3"/>
  <c r="N6" i="3"/>
  <c r="N7" i="3"/>
  <c r="J9" i="4"/>
  <c r="Q7" i="3"/>
  <c r="J10" i="4"/>
  <c r="Q8" i="3"/>
  <c r="J11" i="4"/>
  <c r="Q9" i="3"/>
  <c r="J12" i="4"/>
  <c r="Q10" i="3"/>
  <c r="W11" i="3"/>
  <c r="J13" i="4"/>
  <c r="Q11" i="3"/>
  <c r="W12" i="3"/>
  <c r="J14" i="4"/>
  <c r="Q12" i="3"/>
  <c r="W13" i="3"/>
  <c r="J15" i="4"/>
  <c r="Q13" i="3"/>
  <c r="J16" i="4"/>
  <c r="C1" i="3"/>
  <c r="AL4" i="3"/>
  <c r="AG6" i="3"/>
  <c r="Y7" i="3"/>
  <c r="AH3" i="3"/>
  <c r="AD4" i="3"/>
  <c r="C5" i="4"/>
  <c r="E5" i="4"/>
  <c r="K24" i="3"/>
  <c r="N24" i="3"/>
  <c r="O24" i="3"/>
  <c r="H49" i="7"/>
  <c r="I49" i="7"/>
  <c r="E46" i="7"/>
  <c r="H11" i="15"/>
  <c r="E13" i="15"/>
  <c r="B6" i="9"/>
  <c r="E37" i="10"/>
  <c r="H56" i="7"/>
  <c r="I56" i="7"/>
  <c r="E36" i="10"/>
  <c r="H46" i="7"/>
  <c r="I46" i="7"/>
  <c r="R24" i="4"/>
  <c r="H22" i="6"/>
  <c r="F42" i="10"/>
  <c r="G42" i="10"/>
  <c r="E19" i="15"/>
  <c r="E55" i="7"/>
  <c r="E7" i="15"/>
  <c r="F7" i="15"/>
  <c r="F11" i="15"/>
  <c r="E33" i="10"/>
  <c r="I19" i="6"/>
  <c r="H48" i="7"/>
  <c r="I48" i="7"/>
  <c r="H44" i="7"/>
  <c r="I44" i="7"/>
  <c r="S10" i="4"/>
  <c r="N8" i="3"/>
  <c r="S9" i="4"/>
  <c r="M6" i="3"/>
  <c r="M9" i="4"/>
  <c r="H55" i="7"/>
  <c r="I55" i="7"/>
  <c r="F40" i="10"/>
  <c r="G40" i="10"/>
  <c r="P24" i="4"/>
  <c r="H30" i="7"/>
  <c r="J31" i="7"/>
  <c r="H58" i="7"/>
  <c r="I58" i="7"/>
  <c r="H24" i="4"/>
  <c r="H14" i="6"/>
  <c r="O24" i="4"/>
  <c r="H33" i="6"/>
  <c r="H42" i="7"/>
  <c r="I42" i="7"/>
  <c r="Q24" i="4"/>
  <c r="H27" i="6"/>
  <c r="I28" i="6"/>
  <c r="E57" i="7"/>
  <c r="T24" i="4"/>
  <c r="H34" i="6"/>
  <c r="I24" i="4"/>
  <c r="C20" i="4"/>
  <c r="H60" i="6"/>
  <c r="J11" i="8"/>
  <c r="J24" i="4"/>
  <c r="K24" i="4"/>
  <c r="M5" i="3"/>
  <c r="M8" i="4"/>
  <c r="M13" i="3"/>
  <c r="M16" i="4"/>
  <c r="M9" i="3"/>
  <c r="M12" i="4"/>
  <c r="E49" i="7"/>
  <c r="E38" i="10"/>
  <c r="E40" i="10"/>
  <c r="E46" i="10"/>
  <c r="H15" i="6"/>
  <c r="E58" i="7"/>
  <c r="E56" i="7"/>
  <c r="D24" i="4"/>
  <c r="F13" i="10"/>
  <c r="G10" i="6"/>
  <c r="H10" i="6"/>
  <c r="C13" i="10"/>
  <c r="H45" i="7"/>
  <c r="I45" i="7"/>
  <c r="F34" i="10"/>
  <c r="G34" i="10"/>
  <c r="H57" i="7"/>
  <c r="D59" i="6"/>
  <c r="F60" i="6"/>
  <c r="U24" i="4"/>
  <c r="C98" i="3"/>
  <c r="F20" i="4"/>
  <c r="E20" i="4"/>
  <c r="I42" i="6"/>
  <c r="F48" i="10"/>
  <c r="G48" i="10"/>
  <c r="E45" i="7"/>
  <c r="N7" i="4"/>
  <c r="AL5" i="3"/>
  <c r="AD5" i="3"/>
  <c r="AH4" i="3"/>
  <c r="AI4" i="3"/>
  <c r="K4" i="3"/>
  <c r="G5" i="4"/>
  <c r="AI3" i="3"/>
  <c r="K3" i="3"/>
  <c r="Q19" i="3"/>
  <c r="Q24" i="3"/>
  <c r="I26" i="3"/>
  <c r="C21" i="4"/>
  <c r="L21" i="4"/>
  <c r="W21" i="4"/>
  <c r="Y8" i="3"/>
  <c r="AG7" i="3"/>
  <c r="G7" i="15"/>
  <c r="G16" i="15"/>
  <c r="F17" i="15"/>
  <c r="F47" i="10"/>
  <c r="G47" i="10"/>
  <c r="E16" i="15"/>
  <c r="E10" i="15"/>
  <c r="E11" i="15"/>
  <c r="E17" i="15"/>
  <c r="F10" i="15"/>
  <c r="H59" i="7"/>
  <c r="I59" i="7"/>
  <c r="L5" i="4"/>
  <c r="F16" i="15"/>
  <c r="H54" i="7"/>
  <c r="I54" i="7"/>
  <c r="G10" i="15"/>
  <c r="G17" i="15"/>
  <c r="G11" i="15"/>
  <c r="N9" i="3"/>
  <c r="S11" i="4"/>
  <c r="L20" i="4"/>
  <c r="W20" i="4"/>
  <c r="I15" i="6"/>
  <c r="D34" i="6"/>
  <c r="E43" i="7"/>
  <c r="F31" i="10"/>
  <c r="G31" i="10"/>
  <c r="M11" i="3"/>
  <c r="M14" i="4"/>
  <c r="M10" i="3"/>
  <c r="M13" i="4"/>
  <c r="H43" i="7"/>
  <c r="I43" i="7"/>
  <c r="F32" i="10"/>
  <c r="G32" i="10"/>
  <c r="I57" i="7"/>
  <c r="M3" i="3"/>
  <c r="M6" i="4"/>
  <c r="V6" i="4"/>
  <c r="M4" i="3"/>
  <c r="M7" i="4"/>
  <c r="V7" i="4"/>
  <c r="G13" i="10"/>
  <c r="G16" i="10"/>
  <c r="N8" i="4"/>
  <c r="V8" i="4"/>
  <c r="AL6" i="3"/>
  <c r="AG8" i="3"/>
  <c r="Y9" i="3"/>
  <c r="C6" i="4"/>
  <c r="F3" i="3"/>
  <c r="G3" i="3"/>
  <c r="L3" i="3"/>
  <c r="X6" i="4"/>
  <c r="F6" i="4"/>
  <c r="F4" i="3"/>
  <c r="G4" i="3"/>
  <c r="L4" i="3"/>
  <c r="X7" i="4"/>
  <c r="F7" i="4"/>
  <c r="C7" i="4"/>
  <c r="AD6" i="3"/>
  <c r="AH5" i="3"/>
  <c r="H7" i="15"/>
  <c r="F8" i="15"/>
  <c r="H60" i="7"/>
  <c r="I60" i="7"/>
  <c r="J60" i="7"/>
  <c r="E32" i="10"/>
  <c r="S12" i="4"/>
  <c r="N10" i="3"/>
  <c r="M8" i="3"/>
  <c r="M11" i="4"/>
  <c r="AL7" i="3"/>
  <c r="N9" i="4"/>
  <c r="V9" i="4"/>
  <c r="G7" i="4"/>
  <c r="E7" i="4"/>
  <c r="Y10" i="3"/>
  <c r="AG9" i="3"/>
  <c r="AD7" i="3"/>
  <c r="AH6" i="3"/>
  <c r="AI6" i="3"/>
  <c r="K6" i="3"/>
  <c r="E6" i="4"/>
  <c r="G6" i="4"/>
  <c r="L6" i="4"/>
  <c r="AI5" i="3"/>
  <c r="K5" i="3"/>
  <c r="H10" i="15"/>
  <c r="H16" i="15"/>
  <c r="E8" i="15"/>
  <c r="G8" i="15"/>
  <c r="N11" i="3"/>
  <c r="S13" i="4"/>
  <c r="N10" i="4"/>
  <c r="AL8" i="3"/>
  <c r="L7" i="4"/>
  <c r="W7" i="4"/>
  <c r="W6" i="4"/>
  <c r="F5" i="3"/>
  <c r="G5" i="3"/>
  <c r="L5" i="3"/>
  <c r="X8" i="4"/>
  <c r="F8" i="4"/>
  <c r="C8" i="4"/>
  <c r="AG10" i="3"/>
  <c r="Y11" i="3"/>
  <c r="C9" i="4"/>
  <c r="F6" i="3"/>
  <c r="G6" i="3"/>
  <c r="L6" i="3"/>
  <c r="X9" i="4"/>
  <c r="F9" i="4"/>
  <c r="AH7" i="3"/>
  <c r="AD8" i="3"/>
  <c r="S14" i="4"/>
  <c r="N12" i="3"/>
  <c r="AL9" i="3"/>
  <c r="N11" i="4"/>
  <c r="V11" i="4"/>
  <c r="G9" i="4"/>
  <c r="E9" i="4"/>
  <c r="AH8" i="3"/>
  <c r="AI8" i="3"/>
  <c r="K8" i="3"/>
  <c r="AD9" i="3"/>
  <c r="AI7" i="3"/>
  <c r="K7" i="3"/>
  <c r="Y12" i="3"/>
  <c r="AG11" i="3"/>
  <c r="E8" i="4"/>
  <c r="G8" i="4"/>
  <c r="L8" i="4"/>
  <c r="S15" i="4"/>
  <c r="N13" i="3"/>
  <c r="S16" i="4"/>
  <c r="N12" i="4"/>
  <c r="V12" i="4"/>
  <c r="AL10" i="3"/>
  <c r="W8" i="4"/>
  <c r="C11" i="4"/>
  <c r="F8" i="3"/>
  <c r="G8" i="3"/>
  <c r="L8" i="3"/>
  <c r="X11" i="4"/>
  <c r="F11" i="4"/>
  <c r="L9" i="4"/>
  <c r="W9" i="4"/>
  <c r="Y13" i="3"/>
  <c r="AG12" i="3"/>
  <c r="F7" i="3"/>
  <c r="G7" i="3"/>
  <c r="L7" i="3"/>
  <c r="X10" i="4"/>
  <c r="F10" i="4"/>
  <c r="C10" i="4"/>
  <c r="AD10" i="3"/>
  <c r="AH9" i="3"/>
  <c r="AI9" i="3"/>
  <c r="K9" i="3"/>
  <c r="S24" i="4"/>
  <c r="M2" i="3"/>
  <c r="M5" i="4"/>
  <c r="V5" i="4"/>
  <c r="W5" i="4"/>
  <c r="M7" i="3"/>
  <c r="M10" i="4"/>
  <c r="M12" i="3"/>
  <c r="M15" i="4"/>
  <c r="N13" i="4"/>
  <c r="V13" i="4"/>
  <c r="AL11" i="3"/>
  <c r="F9" i="3"/>
  <c r="G9" i="3"/>
  <c r="L9" i="3"/>
  <c r="X12" i="4"/>
  <c r="F12" i="4"/>
  <c r="C12" i="4"/>
  <c r="E11" i="4"/>
  <c r="G11" i="4"/>
  <c r="AG13" i="3"/>
  <c r="Y14" i="3"/>
  <c r="AD11" i="3"/>
  <c r="AH10" i="3"/>
  <c r="AI10" i="3"/>
  <c r="K10" i="3"/>
  <c r="G10" i="4"/>
  <c r="E10" i="4"/>
  <c r="V10" i="4"/>
  <c r="M24" i="4"/>
  <c r="H31" i="6"/>
  <c r="AL12" i="3"/>
  <c r="N14" i="4"/>
  <c r="V14" i="4"/>
  <c r="L11" i="4"/>
  <c r="W11" i="4"/>
  <c r="F10" i="3"/>
  <c r="G10" i="3"/>
  <c r="L10" i="3"/>
  <c r="X13" i="4"/>
  <c r="F13" i="4"/>
  <c r="C13" i="4"/>
  <c r="G12" i="4"/>
  <c r="E12" i="4"/>
  <c r="AH11" i="3"/>
  <c r="AI11" i="3"/>
  <c r="K11" i="3"/>
  <c r="AD12" i="3"/>
  <c r="L10" i="4"/>
  <c r="W10" i="4"/>
  <c r="Y15" i="3"/>
  <c r="AG14" i="3"/>
  <c r="F29" i="10"/>
  <c r="G29" i="10"/>
  <c r="H40" i="7"/>
  <c r="AL13" i="3"/>
  <c r="N16" i="4"/>
  <c r="N15" i="4"/>
  <c r="V15" i="4"/>
  <c r="L12" i="4"/>
  <c r="W12" i="4"/>
  <c r="AG15" i="3"/>
  <c r="AD13" i="3"/>
  <c r="AH12" i="3"/>
  <c r="AI12" i="3"/>
  <c r="K12" i="3"/>
  <c r="G13" i="4"/>
  <c r="E13" i="4"/>
  <c r="C14" i="4"/>
  <c r="F11" i="3"/>
  <c r="G11" i="3"/>
  <c r="L11" i="3"/>
  <c r="X14" i="4"/>
  <c r="F14" i="4"/>
  <c r="I40" i="7"/>
  <c r="N24" i="4"/>
  <c r="H32" i="6"/>
  <c r="V16" i="4"/>
  <c r="V24" i="4"/>
  <c r="AD14" i="3"/>
  <c r="AH13" i="3"/>
  <c r="L13" i="4"/>
  <c r="W13" i="4"/>
  <c r="G14" i="4"/>
  <c r="E14" i="4"/>
  <c r="L14" i="4"/>
  <c r="W14" i="4"/>
  <c r="F12" i="3"/>
  <c r="G12" i="3"/>
  <c r="L12" i="3"/>
  <c r="X15" i="4"/>
  <c r="F15" i="4"/>
  <c r="C15" i="4"/>
  <c r="H41" i="7"/>
  <c r="F30" i="10"/>
  <c r="G30" i="10"/>
  <c r="H41" i="6"/>
  <c r="I41" i="6"/>
  <c r="G15" i="4"/>
  <c r="E15" i="4"/>
  <c r="L15" i="4"/>
  <c r="W15" i="4"/>
  <c r="AI13" i="3"/>
  <c r="K13" i="3"/>
  <c r="C29" i="3"/>
  <c r="AH14" i="3"/>
  <c r="AD15" i="3"/>
  <c r="AH15" i="3"/>
  <c r="I41" i="7"/>
  <c r="H50" i="7"/>
  <c r="I50" i="7"/>
  <c r="J50" i="7"/>
  <c r="J52" i="7"/>
  <c r="J61" i="7"/>
  <c r="C16" i="4"/>
  <c r="F13" i="3"/>
  <c r="G13" i="3"/>
  <c r="L13" i="3"/>
  <c r="X16" i="4"/>
  <c r="F16" i="4"/>
  <c r="F24" i="4"/>
  <c r="E16" i="4"/>
  <c r="E24" i="4"/>
  <c r="G16" i="4"/>
  <c r="C24" i="4"/>
  <c r="G9" i="6"/>
  <c r="H11" i="6"/>
  <c r="L16" i="4"/>
  <c r="G24" i="4"/>
  <c r="H9" i="6"/>
  <c r="B1" i="3"/>
  <c r="W16" i="4"/>
  <c r="W24" i="4"/>
  <c r="L24" i="4"/>
  <c r="I11" i="6"/>
  <c r="H25" i="7"/>
  <c r="J26" i="7"/>
  <c r="B90" i="3"/>
  <c r="H7" i="6"/>
  <c r="I7" i="6"/>
  <c r="I12" i="6"/>
  <c r="I16" i="6"/>
  <c r="I20" i="6"/>
  <c r="I29" i="6"/>
  <c r="I43" i="6"/>
  <c r="C78" i="3"/>
  <c r="H17" i="7"/>
  <c r="J17" i="7"/>
  <c r="H23" i="7"/>
  <c r="J23" i="7"/>
  <c r="J27" i="7"/>
  <c r="J32" i="7"/>
  <c r="J37" i="7"/>
  <c r="J62" i="7"/>
  <c r="J2" i="8"/>
  <c r="F47" i="6"/>
  <c r="H47" i="6"/>
  <c r="F46" i="6"/>
  <c r="H46" i="6"/>
  <c r="F45" i="6"/>
  <c r="H45" i="6"/>
  <c r="I44" i="6"/>
  <c r="J3" i="8"/>
  <c r="F48" i="6"/>
  <c r="H48" i="6"/>
  <c r="I49" i="6"/>
  <c r="I51" i="6"/>
  <c r="G44" i="6"/>
  <c r="J4" i="8"/>
  <c r="I53" i="6"/>
  <c r="J7" i="8"/>
  <c r="I52" i="6"/>
  <c r="J6" i="8"/>
  <c r="J5" i="8"/>
  <c r="J8" i="8"/>
  <c r="J10" i="8"/>
  <c r="I54" i="6"/>
  <c r="I60" i="6"/>
  <c r="H61" i="6"/>
  <c r="G13" i="8"/>
  <c r="I61" i="6"/>
  <c r="C99" i="3"/>
  <c r="E2" i="16"/>
  <c r="J13" i="8"/>
  <c r="D36" i="8"/>
  <c r="O97" i="3"/>
  <c r="O90" i="3"/>
  <c r="E7" i="16"/>
  <c r="E19" i="16"/>
  <c r="I16" i="3"/>
  <c r="H17" i="16"/>
  <c r="H11" i="16"/>
  <c r="E13" i="16"/>
  <c r="E36" i="8"/>
  <c r="F7" i="16"/>
  <c r="E17" i="16"/>
  <c r="E10" i="16"/>
  <c r="E16" i="16"/>
  <c r="E11" i="16"/>
  <c r="F10" i="16"/>
  <c r="F11" i="16"/>
  <c r="F16" i="16"/>
  <c r="F17" i="16"/>
  <c r="G7" i="16"/>
  <c r="G16" i="16"/>
  <c r="G11" i="16"/>
  <c r="G10" i="16"/>
  <c r="G17" i="16"/>
  <c r="H7" i="16"/>
  <c r="E8" i="16"/>
  <c r="H10" i="16"/>
  <c r="F8" i="16"/>
  <c r="G8" i="16"/>
  <c r="H16" i="16"/>
</calcChain>
</file>

<file path=xl/sharedStrings.xml><?xml version="1.0" encoding="utf-8"?>
<sst xmlns="http://schemas.openxmlformats.org/spreadsheetml/2006/main" count="1005" uniqueCount="677">
  <si>
    <t>APGLI</t>
  </si>
  <si>
    <t>GIS</t>
  </si>
  <si>
    <t>MONTH</t>
  </si>
  <si>
    <t>P.TAX</t>
  </si>
  <si>
    <t>NO CHANGE</t>
  </si>
  <si>
    <t>SPL PAY
HMA</t>
  </si>
  <si>
    <t>PHA</t>
  </si>
  <si>
    <t>READER
ALLOW</t>
  </si>
  <si>
    <t>ADV.
TAX</t>
  </si>
  <si>
    <t>ARREARS</t>
  </si>
  <si>
    <t>BASIC</t>
  </si>
  <si>
    <t>D.A.</t>
  </si>
  <si>
    <t>H.R.A.</t>
  </si>
  <si>
    <t>PF/CPS</t>
  </si>
  <si>
    <t>NET</t>
  </si>
  <si>
    <t>A.A.S.</t>
  </si>
  <si>
    <t>DESIGNATION</t>
  </si>
  <si>
    <t>VILLAGE</t>
  </si>
  <si>
    <t>MANDAL</t>
  </si>
  <si>
    <t>DISTRICT</t>
  </si>
  <si>
    <t>DDO NAME</t>
  </si>
  <si>
    <t>DDO TAN</t>
  </si>
  <si>
    <t>PAY
SCALES</t>
  </si>
  <si>
    <t>S.G.T.</t>
  </si>
  <si>
    <t>S.A.</t>
  </si>
  <si>
    <t>Gr II HMs
MEOs</t>
  </si>
  <si>
    <t>ORDINARY</t>
  </si>
  <si>
    <t>21230-63010</t>
  </si>
  <si>
    <t>28940-78910</t>
  </si>
  <si>
    <t>35120-87130</t>
  </si>
  <si>
    <t xml:space="preserve">  6 YEARS</t>
  </si>
  <si>
    <t>22460-66330</t>
  </si>
  <si>
    <t>29760-80930</t>
  </si>
  <si>
    <t>37100-91450</t>
  </si>
  <si>
    <t>40270-93780</t>
  </si>
  <si>
    <t>24 YEARS</t>
  </si>
  <si>
    <t>46060-98440</t>
  </si>
  <si>
    <t>YOUR ANNUAL GROSS SALARY</t>
  </si>
  <si>
    <t>INCOME FROM OTHER SOURCE</t>
  </si>
  <si>
    <t>INCOME FROM CAPITAL GAINS</t>
  </si>
  <si>
    <t>INCOME FROM HOUSE PROPERTY</t>
  </si>
  <si>
    <t>Interest of educational loan u/s 24(B)</t>
  </si>
  <si>
    <t>Interest of housing loan u/s 80E</t>
  </si>
  <si>
    <t>Deductions for Disabled u/s 80U</t>
  </si>
  <si>
    <t>Medical Insurance premium u/s 80D</t>
  </si>
  <si>
    <t>POSTAL LIFE INSURANCE (PLI/RPLI)</t>
  </si>
  <si>
    <t>SUKANYA SAMRIDHI YOJANA</t>
  </si>
  <si>
    <t>SBI LIFE INSURANCE</t>
  </si>
  <si>
    <t>PUBLIC PROVIDENT FUND</t>
  </si>
  <si>
    <t>TUTION FEE FOR CHILDREN</t>
  </si>
  <si>
    <t xml:space="preserve">TAX TO BE PAID FOR 2017-18 </t>
  </si>
  <si>
    <t>MANDAL EDUCATIONAL OFFICER</t>
  </si>
  <si>
    <t>HRA</t>
  </si>
  <si>
    <t>HMA</t>
  </si>
  <si>
    <t>EHS</t>
  </si>
  <si>
    <t>DDO</t>
  </si>
  <si>
    <t>HEAD MASTER</t>
  </si>
  <si>
    <t>HEAD MISTRESS</t>
  </si>
  <si>
    <t>PS HM / LFL HM</t>
  </si>
  <si>
    <t>DISTRICTS</t>
  </si>
  <si>
    <t>M.P.U.P.SCHOOL</t>
  </si>
  <si>
    <t>M.P.P.SCHOOL</t>
  </si>
  <si>
    <t>Govt.Primary School</t>
  </si>
  <si>
    <t>Govt.High School</t>
  </si>
  <si>
    <t>DA</t>
  </si>
  <si>
    <t>GROSS</t>
  </si>
  <si>
    <t>TOTAL
DEDs</t>
  </si>
  <si>
    <t>TOTAL</t>
  </si>
  <si>
    <t>Prepared by :   RAMANJANEYULU PERUMAL__S.G.TEACHER__ALUR MANDAL__KURNOOL Dist.</t>
  </si>
  <si>
    <t>BASIC PAY</t>
  </si>
  <si>
    <t>SPL
PAY
HMA</t>
  </si>
  <si>
    <t>Financial year</t>
  </si>
  <si>
    <t>Assessment year</t>
  </si>
  <si>
    <t>2017-18</t>
  </si>
  <si>
    <t>INCOME TAX CALCULATION</t>
  </si>
  <si>
    <t>2018-19</t>
  </si>
  <si>
    <t>GROSS  SALARY</t>
  </si>
  <si>
    <t>HRA Exemption as per eligibility U/s 10(13A)</t>
  </si>
  <si>
    <t>RENT PAID =</t>
  </si>
  <si>
    <t>a)</t>
  </si>
  <si>
    <t>Actual HRA received</t>
  </si>
  <si>
    <t>(BP+DA)*10%=</t>
  </si>
  <si>
    <t>b)</t>
  </si>
  <si>
    <t>c)</t>
  </si>
  <si>
    <t>40% of Salary  (SALARY means Pay+D.A.)</t>
  </si>
  <si>
    <t>TOTAL SALARY</t>
  </si>
  <si>
    <t>(1-2)</t>
  </si>
  <si>
    <t xml:space="preserve">DEDUCTIONS  FROM  SALARY  INCOME </t>
  </si>
  <si>
    <t>Exemption from Conveyance Allowance U/s. 10(14) (i)</t>
  </si>
  <si>
    <t>Profession Tax U/s 16 (3) B</t>
  </si>
  <si>
    <t xml:space="preserve">INCOME  FROM  SALARY </t>
  </si>
  <si>
    <t>(3-4)</t>
  </si>
  <si>
    <t>Income From other sources</t>
  </si>
  <si>
    <t/>
  </si>
  <si>
    <t>Income From Capital Gains</t>
  </si>
  <si>
    <t>Income  from House Property   U/s 24(vi)</t>
  </si>
  <si>
    <t xml:space="preserve">GROSS  TOTAL  INCOME </t>
  </si>
  <si>
    <t xml:space="preserve">  (5+6+7+8)</t>
  </si>
  <si>
    <t xml:space="preserve">DEDUCTIONS </t>
  </si>
  <si>
    <t>E.W.F &amp; S.W.F &amp; CMRF U/s 80G</t>
  </si>
  <si>
    <t>d)</t>
  </si>
  <si>
    <t xml:space="preserve"> (Limited to    75,000)</t>
  </si>
  <si>
    <t>e)</t>
  </si>
  <si>
    <t>f)</t>
  </si>
  <si>
    <t>(9-10)</t>
  </si>
  <si>
    <t>SAVINGS DETAILS</t>
  </si>
  <si>
    <t xml:space="preserve"> U/s 80C</t>
  </si>
  <si>
    <t xml:space="preserve"> (Limited to 1,50,000)</t>
  </si>
  <si>
    <t>ZPPF_GPF_CPS</t>
  </si>
  <si>
    <t>g)</t>
  </si>
  <si>
    <t>h)</t>
  </si>
  <si>
    <t>i)</t>
  </si>
  <si>
    <t>j)</t>
  </si>
  <si>
    <t>TOTAL SAVINGS</t>
  </si>
  <si>
    <t xml:space="preserve">              U/s 80C</t>
  </si>
  <si>
    <t>National Pension Scheme_U/s 80CCD (1)(B)</t>
  </si>
  <si>
    <t xml:space="preserve"> (Limited to    50,000)</t>
  </si>
  <si>
    <t>NET TAXABLE INCOME</t>
  </si>
  <si>
    <t>(11-12)</t>
  </si>
  <si>
    <t>TAX ON INCOME</t>
  </si>
  <si>
    <t>(SLAB   WISE)</t>
  </si>
  <si>
    <t>SLAB  A</t>
  </si>
  <si>
    <t>Rs.  000000 - Rs.  250000</t>
  </si>
  <si>
    <t>SLAB  B</t>
  </si>
  <si>
    <t>Rs.  250001 - Rs.  500000</t>
  </si>
  <si>
    <t>SLAB  C</t>
  </si>
  <si>
    <t>Rs.  500001 - Rs.1000000</t>
  </si>
  <si>
    <t>SLAB  D</t>
  </si>
  <si>
    <t>Tax on Income</t>
  </si>
  <si>
    <t>SLABS ( A+B+C+D )</t>
  </si>
  <si>
    <t>TaxRebate u/s 87A</t>
  </si>
  <si>
    <t>(Rs.2500/-Rebate Upto Rs.3,50,000/- Taxble Income)</t>
  </si>
  <si>
    <t>Overall TAX on INCOME  after TAX REBATE</t>
  </si>
  <si>
    <t>Education Cess</t>
  </si>
  <si>
    <t>Secondary &amp; Higher Education Cess</t>
  </si>
  <si>
    <t>Total Tax Payable</t>
  </si>
  <si>
    <t>(16+17+18)</t>
  </si>
  <si>
    <t xml:space="preserve">DETAILS  of Adv.Tax DEDUCTIONS </t>
  </si>
  <si>
    <t>Acknowledgement No.s ↓</t>
  </si>
  <si>
    <t>Total amount of Adv.Tax</t>
  </si>
  <si>
    <t>TAX TO BE PAID NOW</t>
  </si>
  <si>
    <t>(19-21)</t>
  </si>
  <si>
    <t>SIGNATURE OF THE DDO</t>
  </si>
  <si>
    <t>SIGNATURE  OF THE EMPLOYEE</t>
  </si>
  <si>
    <t>EHF</t>
  </si>
  <si>
    <t>for Tax deducted at source from income chargeable under the head "salaries"</t>
  </si>
  <si>
    <t>NAME AND ADDRESS OF THE EMPLOYER</t>
  </si>
  <si>
    <t>NAME AND DESIGNATION OF THE EMPLOYEE</t>
  </si>
  <si>
    <t>Acknowledgement Nos.of all quarterly statements of TDS under sub-section 200 as provided by TIN facilitation center or NSDL web-site</t>
  </si>
  <si>
    <t>Acknowledge. No</t>
  </si>
  <si>
    <t>Amount</t>
  </si>
  <si>
    <t>Period</t>
  </si>
  <si>
    <t>Quarter - 1</t>
  </si>
  <si>
    <t>To</t>
  </si>
  <si>
    <t>Quarter - 2</t>
  </si>
  <si>
    <t>Quarter - 3</t>
  </si>
  <si>
    <t>Quarter - 4</t>
  </si>
  <si>
    <t>DETAILS OF SALARY PAID AND ANY OTHER INCOME AND TAX DEDUCTED</t>
  </si>
  <si>
    <t xml:space="preserve">GROSS  SALARY </t>
  </si>
  <si>
    <t>Salary as per provisions cotained in section 17 (1)</t>
  </si>
  <si>
    <t>Value of percuisites under section 17(2)</t>
  </si>
  <si>
    <t>(As Per Form No. 12BA, Wherever applicable)</t>
  </si>
  <si>
    <t>Profits in lieu of salary under section 17(3)</t>
  </si>
  <si>
    <t>(as per Form No. 12BA, Wherver applicable)</t>
  </si>
  <si>
    <t xml:space="preserve">TOTAL </t>
  </si>
  <si>
    <t>LESS :  Allowance to the extent exempted U/s 10</t>
  </si>
  <si>
    <t>HOUSE RENT ALLOWANCE</t>
  </si>
  <si>
    <t>OTHER  ALLOWANCE</t>
  </si>
  <si>
    <t xml:space="preserve">BALANCE </t>
  </si>
  <si>
    <t xml:space="preserve">ENTERTAINMENT ALLOWANCE </t>
  </si>
  <si>
    <t xml:space="preserve">TAX ON EMPLOYMENT </t>
  </si>
  <si>
    <t>Aggreate of 4 (a)&amp;(b)</t>
  </si>
  <si>
    <t>4(a)+4(b)</t>
  </si>
  <si>
    <t>INCOME UNDER THE HEAD SALARIES</t>
  </si>
  <si>
    <t>(3-5)</t>
  </si>
  <si>
    <t>Any other income reported by the employee</t>
  </si>
  <si>
    <t>(6+7)</t>
  </si>
  <si>
    <t>Deductions   Under    Chapter VI A</t>
  </si>
  <si>
    <t>A)</t>
  </si>
  <si>
    <t>Under Sections 80C,80CCC,80CCD,80CCF</t>
  </si>
  <si>
    <t>Gross Amount</t>
  </si>
  <si>
    <t>Qualify Amount</t>
  </si>
  <si>
    <t>k)</t>
  </si>
  <si>
    <t>B)</t>
  </si>
  <si>
    <t>Other Sections Under Chapter VI A</t>
  </si>
  <si>
    <t>80G</t>
  </si>
  <si>
    <t>80E</t>
  </si>
  <si>
    <t>80U</t>
  </si>
  <si>
    <t>24B</t>
  </si>
  <si>
    <t>80D</t>
  </si>
  <si>
    <t xml:space="preserve">TOTAL INCOME </t>
  </si>
  <si>
    <t>(8-9)</t>
  </si>
  <si>
    <t>TOTAL INCOME</t>
  </si>
  <si>
    <t>TAX ON TOTAL INCOME Rs.</t>
  </si>
  <si>
    <t>{ (10)-250000 }</t>
  </si>
  <si>
    <t>Tax Rebate U/s 87A</t>
  </si>
  <si>
    <t>TOTAL TAX AFTER TAX REBATE</t>
  </si>
  <si>
    <t>EDUCATION CESS</t>
  </si>
  <si>
    <t>(On S.No.13)</t>
  </si>
  <si>
    <t>TAX PAYABLE</t>
  </si>
  <si>
    <t>(13+14+15)</t>
  </si>
  <si>
    <t>LESS: Relief under section 89 (attach details)</t>
  </si>
  <si>
    <t>(16-17)</t>
  </si>
  <si>
    <t>(a)Tax deducted at source u/s 192(1)</t>
  </si>
  <si>
    <t>(b)Tax paid by the employer on behalf of the employee U/s 192 (1A) on perquisited U/s 17 (2)</t>
  </si>
  <si>
    <t>DETAILS OF TAX DEDUCTED AND DEPOSITED INTO CENTRAL GOVERNMENT ACCOUNT</t>
  </si>
  <si>
    <t>(The employer is to provide tranction - wise details of tax deducted and deposited)</t>
  </si>
  <si>
    <t>Transfer
voucher/challana
identification No.</t>
  </si>
  <si>
    <t xml:space="preserve">  working in the</t>
  </si>
  <si>
    <t>capacity of</t>
  </si>
  <si>
    <t xml:space="preserve">do hereby certify that the </t>
  </si>
  <si>
    <t xml:space="preserve">sum of Rs. </t>
  </si>
  <si>
    <t xml:space="preserve">   has  been  deducted  at  source and  paid  to  the credit of the central Government. </t>
  </si>
  <si>
    <t>PLACE :</t>
  </si>
  <si>
    <t>Signature of the person responsible for deduction of tax</t>
  </si>
  <si>
    <t>DATE   :</t>
  </si>
  <si>
    <t>DESIGNATION :</t>
  </si>
  <si>
    <t>VILLAGE :</t>
  </si>
  <si>
    <t>MANDAL :</t>
  </si>
  <si>
    <t>DISTRICT :</t>
  </si>
  <si>
    <t>Prepared by  : RAMANJANEYULU PERUMAL__S.G.T__ALUR MANDAL__KURNOOL Dist.</t>
  </si>
  <si>
    <t>EWF
SWF
CMRF</t>
  </si>
  <si>
    <t>HRA
%</t>
  </si>
  <si>
    <t>D.A.
%</t>
  </si>
  <si>
    <t>2017-18 బడ్జెట్ వివరాలు :  (సూక్ష్మంగా.......)</t>
  </si>
  <si>
    <t>REVISED SCALE - 2014  ( IN RUPEES )</t>
  </si>
  <si>
    <t>ZPPF
GPF</t>
  </si>
  <si>
    <t>CPS</t>
  </si>
  <si>
    <t>GPF</t>
  </si>
  <si>
    <t>ramanjaneyuluperumal@gmail.com</t>
  </si>
  <si>
    <t>D.A. ARREARS (1) ---&gt;</t>
  </si>
  <si>
    <t>D.A. ARREARS (2) ---&gt;</t>
  </si>
  <si>
    <t>ANNEXURE_II</t>
  </si>
  <si>
    <t>FROM</t>
  </si>
  <si>
    <t>FORM No. 16</t>
  </si>
  <si>
    <t>[ vide rule31(1)(a) of I.T. RULES 1962 ]</t>
  </si>
  <si>
    <t>certificate under section 203 of the Income_tax Act , 1961.</t>
  </si>
  <si>
    <t>EMP.ID :</t>
  </si>
  <si>
    <t>Assessment
year</t>
  </si>
  <si>
    <t xml:space="preserve">    Quarter - No.</t>
  </si>
  <si>
    <t xml:space="preserve">I   </t>
  </si>
  <si>
    <t>Aggregate amount deductable under section 80C shall not exceed 1.5 lakh rupees.</t>
  </si>
  <si>
    <t>Aggregate amount deductable under section 80C , 80CCC , 80CCD shall not exceed 2 lakh rupees.</t>
  </si>
  <si>
    <t>Employee Health Scheme      (EHS)</t>
  </si>
  <si>
    <t xml:space="preserve">Rent paid (-) 10% of  Salary :: RENT @   </t>
  </si>
  <si>
    <t>80C</t>
  </si>
  <si>
    <t>80CC</t>
  </si>
  <si>
    <t>80CCF</t>
  </si>
  <si>
    <t>80CCD(1B)</t>
  </si>
  <si>
    <t>TOTAL ( Max.Limit : Rs.1,50,000 )</t>
  </si>
  <si>
    <t>FULL NAME   :</t>
  </si>
  <si>
    <t>S.No.</t>
  </si>
  <si>
    <t>Date on which
tax Deposited</t>
  </si>
  <si>
    <t>BSR Code of
Bank Branch</t>
  </si>
  <si>
    <t>Cheque/DD No.
( IF ANY )</t>
  </si>
  <si>
    <t>Total Tax
Deposited</t>
  </si>
  <si>
    <t>Education
Cess ( Rs. )</t>
  </si>
  <si>
    <t>Surcharge
( in Rs. )</t>
  </si>
  <si>
    <t>TDS
( in Rs. )</t>
  </si>
  <si>
    <t>MEDICAL REIMBURSEMENT CLAIMS (+)</t>
  </si>
  <si>
    <t>YES</t>
  </si>
  <si>
    <t>NO</t>
  </si>
  <si>
    <t>D.A. ARREARS</t>
  </si>
  <si>
    <t>E.L.s..</t>
  </si>
  <si>
    <t>EL's</t>
  </si>
  <si>
    <t>NOT ENCASHED</t>
  </si>
  <si>
    <t>SIGNATURE OF THE EMPLOYEE</t>
  </si>
  <si>
    <t>RECEIPT OF HOUSE RENT</t>
  </si>
  <si>
    <t>(Under Section 1 (13-A) of Income Tax Act)</t>
  </si>
  <si>
    <t>Signature of the House Owner</t>
  </si>
  <si>
    <t>Signature of the Tenant</t>
  </si>
  <si>
    <t>HOUSE ADDRESS :</t>
  </si>
  <si>
    <t>( Affix Revenue stamp of Rs. 1 /- )</t>
  </si>
  <si>
    <t>Kotak Mahindra life insurance</t>
  </si>
  <si>
    <t>Unit Linked Plan ( ULIP )</t>
  </si>
  <si>
    <t>Bajaj Allianz Life Insurancce</t>
  </si>
  <si>
    <t>Reliance Life Insurance</t>
  </si>
  <si>
    <t>HDFC Life Insurance</t>
  </si>
  <si>
    <t>ING Life Insurance</t>
  </si>
  <si>
    <t>ICICI Life Insurance</t>
  </si>
  <si>
    <t>ICICI Prudential</t>
  </si>
  <si>
    <t>Birla Sun Life Insurance</t>
  </si>
  <si>
    <t>Aviva Life Insurance</t>
  </si>
  <si>
    <t>Exide Life Insurance</t>
  </si>
  <si>
    <t>Max NewYark Life Insurance</t>
  </si>
  <si>
    <t>OTHERS : ______________________</t>
  </si>
  <si>
    <r>
      <t xml:space="preserve">         </t>
    </r>
    <r>
      <rPr>
        <b/>
        <sz val="14"/>
        <color theme="1"/>
        <rFont val="Calibri"/>
        <family val="2"/>
      </rPr>
      <t>ᴥ</t>
    </r>
  </si>
  <si>
    <t>______________________________________________________________________________</t>
  </si>
  <si>
    <t>Principle Amount of Home Loan Installments</t>
  </si>
  <si>
    <t>Fixed Deposits in Banks ( &gt; 5 Yrs)</t>
  </si>
  <si>
    <t>Equity linked Savings Scheme</t>
  </si>
  <si>
    <t>National Savings Certificate (NSC)</t>
  </si>
  <si>
    <t>STREET</t>
  </si>
  <si>
    <t>Owner's PAN</t>
  </si>
  <si>
    <t>A.A.S. ARREARS</t>
  </si>
  <si>
    <t>MRB CLAIMS</t>
  </si>
  <si>
    <t>NAME :</t>
  </si>
  <si>
    <t xml:space="preserve">Aggregate of Deductible Amount Under Chapter VIA(A+B) </t>
  </si>
  <si>
    <t>P.H.A.
(C.A.)</t>
  </si>
  <si>
    <t>RA</t>
  </si>
  <si>
    <t>CCA</t>
  </si>
  <si>
    <t xml:space="preserve">మీరు C.C.A. అందుకుంటున్నారా </t>
  </si>
  <si>
    <t xml:space="preserve">మీరు P.H. Allowance (C.A.) అందుకుంటున్నారా </t>
  </si>
  <si>
    <t>కళాశాలలోను , పాఠశాలలోను పనిచేస్తున్న దృష్టిలేని లెక్చరర్లు / ఉపాధ్యాయులకు
చదవడానికి సహకరించిన వ్యక్తులకు చెల్లించడానికి రీడర్ అలవెన్సు లభిస్తుంది.
( వెకేషన్ పీరియడ్ లో చెల్లించబడదు ) G.O.Ms.No. 34 తేదీ : 16.07.2010</t>
  </si>
  <si>
    <t xml:space="preserve">The Municipal Corporations eligible for City Compensatory Allowance are: </t>
  </si>
  <si>
    <t>Greater Visakhapatnam 
Municipal Corporation ; Vijayawada Municipal Corporation</t>
  </si>
  <si>
    <t>Reader Allowance అందుకుంటున్నారా. ఎంత ?</t>
  </si>
  <si>
    <t>YOUR NAME</t>
  </si>
  <si>
    <t>YOUR ID</t>
  </si>
  <si>
    <t>YOUR PAN</t>
  </si>
  <si>
    <t>OWNER NAME</t>
  </si>
  <si>
    <t>DOOR No.</t>
  </si>
  <si>
    <t>2017 March నెలలో  మీ ZP/GPF Deduction ఎంత?</t>
  </si>
  <si>
    <t>2017 March నెలలో మీ  PF LOAN Deduction ఎంత?</t>
  </si>
  <si>
    <t>RENT</t>
  </si>
  <si>
    <t>YOUR Aadhar No.</t>
  </si>
  <si>
    <t>OFFICE (SCHOOL)</t>
  </si>
  <si>
    <t>DDO DESIGNATION</t>
  </si>
  <si>
    <t>ADDL
HRA</t>
  </si>
  <si>
    <t>NOT APPLICABLE</t>
  </si>
  <si>
    <t>మీరు Additional HRA ను అందుకుంటున్నారా ?</t>
  </si>
  <si>
    <t xml:space="preserve">               I further certify that the Information  given above is true, complete and</t>
  </si>
  <si>
    <t xml:space="preserve">  correct based on the books of account , documents and other available records.</t>
  </si>
  <si>
    <t>FORM NO.12BB</t>
  </si>
  <si>
    <t>(See rule 26C)</t>
  </si>
  <si>
    <t>Nature of claim</t>
  </si>
  <si>
    <t>Amount (Rs.)</t>
  </si>
  <si>
    <t>Evidence / particulars</t>
  </si>
  <si>
    <t>(1)</t>
  </si>
  <si>
    <t>(2)</t>
  </si>
  <si>
    <t>(3)</t>
  </si>
  <si>
    <t>(4)</t>
  </si>
  <si>
    <t>House Rent Allowance:</t>
  </si>
  <si>
    <t>(iii) Address of the landlord</t>
  </si>
  <si>
    <t>(iv) Permanent Account Number of the landlord</t>
  </si>
  <si>
    <t>Leave travel concessions or assistance</t>
  </si>
  <si>
    <t>Deduction of interest on borrowing:</t>
  </si>
  <si>
    <t>(i) Interest payable/paid to the lender</t>
  </si>
  <si>
    <t>(ii) Name of the lender</t>
  </si>
  <si>
    <t>(iii) Address of the lender</t>
  </si>
  <si>
    <t>(iv) Permanent Account Number of the lender</t>
  </si>
  <si>
    <t xml:space="preserve">(a)   Financial Institutions(if available)  </t>
  </si>
  <si>
    <t>(b)   Employer(if available)</t>
  </si>
  <si>
    <t>(c)    Others</t>
  </si>
  <si>
    <t>Deduction under Chapter VI-A</t>
  </si>
  <si>
    <t>(a)</t>
  </si>
  <si>
    <t>(b)</t>
  </si>
  <si>
    <t xml:space="preserve">(c) </t>
  </si>
  <si>
    <t>(d)</t>
  </si>
  <si>
    <t>(e)</t>
  </si>
  <si>
    <t>(f)</t>
  </si>
  <si>
    <t>(g)</t>
  </si>
  <si>
    <t>Verification</t>
  </si>
  <si>
    <t>(Signature of the employee)</t>
  </si>
  <si>
    <t>(i)</t>
  </si>
  <si>
    <t>(II)</t>
  </si>
  <si>
    <t>(iii)</t>
  </si>
  <si>
    <t>(iv)</t>
  </si>
  <si>
    <t>(v)</t>
  </si>
  <si>
    <t>(vi)</t>
  </si>
  <si>
    <t>(vii)</t>
  </si>
  <si>
    <t>80CCD (1B)</t>
  </si>
  <si>
    <t>(h)</t>
  </si>
  <si>
    <t>(j)</t>
  </si>
  <si>
    <t>(k)</t>
  </si>
  <si>
    <t>(l)</t>
  </si>
  <si>
    <t>(A)</t>
  </si>
  <si>
    <t>Section 80C,80CCC and 80CCD</t>
  </si>
  <si>
    <t>(B)</t>
  </si>
  <si>
    <t>Other sections  under Chapter VI-A.
      (e.g. 80E, 80G, 80TTA, etc.)</t>
  </si>
  <si>
    <t>80CCC</t>
  </si>
  <si>
    <t>80CCD</t>
  </si>
  <si>
    <t xml:space="preserve">PLACE : </t>
  </si>
  <si>
    <t xml:space="preserve">   (i) Section 80C</t>
  </si>
  <si>
    <t>Design :</t>
  </si>
  <si>
    <t xml:space="preserve">DATE  : </t>
  </si>
  <si>
    <t>Rs.1000001 &amp;    ABOVE</t>
  </si>
  <si>
    <t>Statement showing particulars of claims by an employee for deduction of tax under section 192</t>
  </si>
  <si>
    <t>Details of claims and evidence thereof  .........................</t>
  </si>
  <si>
    <t>DAYS</t>
  </si>
  <si>
    <t>Inc.
MONTH</t>
  </si>
  <si>
    <t>AAS
MONTH</t>
  </si>
  <si>
    <t>AAS
DATE</t>
  </si>
  <si>
    <t>AAS</t>
  </si>
  <si>
    <t>AAS
ARREARS</t>
  </si>
  <si>
    <t>AAS_MANUAL</t>
  </si>
  <si>
    <t>12/18 YEARS</t>
  </si>
  <si>
    <t>Diff_Days FINAL</t>
  </si>
  <si>
    <t>DA%</t>
  </si>
  <si>
    <t>HRA%</t>
  </si>
  <si>
    <t>2017 MARCH లో మీ GIS Deduction ను ఎంచుకోండి</t>
  </si>
  <si>
    <t>2017 MARCH లో P.TAX Deduction ను ఎంచుకోండి</t>
  </si>
  <si>
    <t>2017 MARCH లో మీ EHS Deduction ను ఎంచుకోండి</t>
  </si>
  <si>
    <t>TOTAL Adv.TAX Paid by YOU</t>
  </si>
  <si>
    <t>BASIC
PAY</t>
  </si>
  <si>
    <t>YOUR
HRA  %</t>
  </si>
  <si>
    <t>AAS
 Start</t>
  </si>
  <si>
    <t>AAS
 End</t>
  </si>
  <si>
    <t>AAS
YES_NO</t>
  </si>
  <si>
    <t>2017 MARCH నెలలో మీ BASICPAY  ను ఎంచుకోండి</t>
  </si>
  <si>
    <t>ALL BP
LIST (80)</t>
  </si>
  <si>
    <t>FINAL B.PAY</t>
  </si>
  <si>
    <t>INTIAL B.PAY</t>
  </si>
  <si>
    <t>Child Fee concession</t>
  </si>
  <si>
    <t>AAS ARREARS</t>
  </si>
  <si>
    <t>D.A. (1)</t>
  </si>
  <si>
    <t>D.A. (2)</t>
  </si>
  <si>
    <t>NOT AVAILED</t>
  </si>
  <si>
    <t>FINAL B.PAY
WITHOUT HPL</t>
  </si>
  <si>
    <t>HPL
 Start</t>
  </si>
  <si>
    <t>HPL
 End</t>
  </si>
  <si>
    <t>AAS
ARREARS
WITH HPL</t>
  </si>
  <si>
    <t>2017 MARCH నెలలో మీ HRA % ను ఎంచుకోండి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</si>
  <si>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</si>
  <si>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</si>
  <si>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</si>
  <si>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</si>
  <si>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</si>
  <si>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</si>
  <si>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</si>
  <si>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</si>
  <si>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</si>
  <si>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</si>
  <si>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</si>
  <si>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</si>
  <si>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</si>
  <si>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</si>
  <si>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</si>
  <si>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</si>
  <si>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</si>
  <si>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</si>
  <si>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</si>
  <si>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</si>
  <si>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</si>
  <si>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</si>
  <si>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</si>
  <si>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</si>
  <si>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</si>
  <si>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</si>
  <si>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</si>
  <si>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</si>
  <si>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</si>
  <si>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</si>
  <si>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</si>
  <si>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</si>
  <si>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</si>
  <si>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</si>
  <si>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</si>
  <si>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</si>
  <si>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</si>
  <si>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</si>
  <si>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</si>
  <si>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Forty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</si>
  <si>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</si>
  <si>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</si>
  <si>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</si>
  <si>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</si>
  <si>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</si>
  <si>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</si>
  <si>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</si>
  <si>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</si>
  <si>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</si>
  <si>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</si>
  <si>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</si>
  <si>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</si>
  <si>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</si>
  <si>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</si>
  <si>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</si>
  <si>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</si>
  <si>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</si>
  <si>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</si>
  <si>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</si>
  <si>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</si>
  <si>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</si>
  <si>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</si>
  <si>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</si>
  <si>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</si>
  <si>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</si>
  <si>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</si>
  <si>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</si>
  <si>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</si>
  <si>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</si>
  <si>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</si>
  <si>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</si>
  <si>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</si>
  <si>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</si>
  <si>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</si>
  <si>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</si>
  <si>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</si>
  <si>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</si>
  <si>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</si>
  <si>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</si>
  <si>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</si>
  <si>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</si>
  <si>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</si>
  <si>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</si>
  <si>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</si>
  <si>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</si>
  <si>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</si>
  <si>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</si>
  <si>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</si>
  <si>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</si>
  <si>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</si>
  <si>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</si>
  <si>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</si>
  <si>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</si>
  <si>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</si>
  <si>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</si>
  <si>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</si>
  <si>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</si>
  <si>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</si>
  <si>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</si>
  <si>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ఒక</t>
  </si>
  <si>
    <t>రెండు</t>
  </si>
  <si>
    <t>మూడు</t>
  </si>
  <si>
    <t>నాలుగు</t>
  </si>
  <si>
    <t>ఐదు</t>
  </si>
  <si>
    <t>ఆరు</t>
  </si>
  <si>
    <t>ఏడు</t>
  </si>
  <si>
    <t>ఎనిమిది</t>
  </si>
  <si>
    <t>తొమ్మిది</t>
  </si>
  <si>
    <t>పది</t>
  </si>
  <si>
    <t>పదకొండు</t>
  </si>
  <si>
    <t>పన్నెండు</t>
  </si>
  <si>
    <t>పదమూడు</t>
  </si>
  <si>
    <t>పద్నాలుగు</t>
  </si>
  <si>
    <t>పదహైదు</t>
  </si>
  <si>
    <t>పదహారు</t>
  </si>
  <si>
    <t>పదిహేడు</t>
  </si>
  <si>
    <t>పద్దెనిమిది</t>
  </si>
  <si>
    <t>పంతొమ్మిది</t>
  </si>
  <si>
    <t>ఇరవై</t>
  </si>
  <si>
    <t>ఇరవై ఒక్క</t>
  </si>
  <si>
    <t>ఇరవై రెండు</t>
  </si>
  <si>
    <t>ఇరవై మూడు</t>
  </si>
  <si>
    <t>ఇరవై నాలుగు</t>
  </si>
  <si>
    <t>ఇరవై ఐదు</t>
  </si>
  <si>
    <t>ఇరవై ఆరు</t>
  </si>
  <si>
    <t>ఇరవై ఏడు</t>
  </si>
  <si>
    <t>ఇరవై ఎనిమిది</t>
  </si>
  <si>
    <t>ఇరవై తొమ్మిది</t>
  </si>
  <si>
    <t>మప్పై</t>
  </si>
  <si>
    <t>ముప్పై ఒక్క</t>
  </si>
  <si>
    <t>ముప్పై రెండు</t>
  </si>
  <si>
    <t>ముప్పై మూడు</t>
  </si>
  <si>
    <t>ముప్పై నాలుగు</t>
  </si>
  <si>
    <t>ముప్పై ఐదు</t>
  </si>
  <si>
    <t>ముప్పై ఆరు</t>
  </si>
  <si>
    <t>ముప్పై ఏడు</t>
  </si>
  <si>
    <t>ముప్పై ఎనిమిది</t>
  </si>
  <si>
    <t>ముప్పై తొమ్మిది</t>
  </si>
  <si>
    <t xml:space="preserve">నలభై </t>
  </si>
  <si>
    <t>నలభై ఒక్క</t>
  </si>
  <si>
    <t>నలభై రెండు</t>
  </si>
  <si>
    <t>నలభై మూడు</t>
  </si>
  <si>
    <t>నలభై నాలుగు</t>
  </si>
  <si>
    <t>నలభై ఐదు</t>
  </si>
  <si>
    <t>నలభై ఆరు</t>
  </si>
  <si>
    <t>నలభై ఏడు</t>
  </si>
  <si>
    <t>నలభై ఎనిమిది</t>
  </si>
  <si>
    <t>నలభై తొమ్మిది</t>
  </si>
  <si>
    <t>యాభై</t>
  </si>
  <si>
    <t>యాభై ఒక్క</t>
  </si>
  <si>
    <t>యాభై రెండు</t>
  </si>
  <si>
    <t>యాభై మూడు</t>
  </si>
  <si>
    <t>యాభై నాలుగు</t>
  </si>
  <si>
    <t>యాభై ఐదు</t>
  </si>
  <si>
    <t>యాభై ఆరు</t>
  </si>
  <si>
    <t>యాభై ఏడు</t>
  </si>
  <si>
    <t>యాభై ఎనిమిది</t>
  </si>
  <si>
    <t>యాభై తొమ్మిది</t>
  </si>
  <si>
    <t>అరవై</t>
  </si>
  <si>
    <t>అరవై ఒక్క</t>
  </si>
  <si>
    <t>అరవై రెండు</t>
  </si>
  <si>
    <t>అరవై మూడు</t>
  </si>
  <si>
    <t>అరవై నాలుగు</t>
  </si>
  <si>
    <t>అరవై ఐదు</t>
  </si>
  <si>
    <t>అరవై ఆరు</t>
  </si>
  <si>
    <t>అరవై ఏడు</t>
  </si>
  <si>
    <t>అరవై ఎనిమిది</t>
  </si>
  <si>
    <t>అరవై తొమ్మిది</t>
  </si>
  <si>
    <t>డెబ్భై</t>
  </si>
  <si>
    <t>డెబ్భై ఒక్క</t>
  </si>
  <si>
    <t>డెబ్భై రెండు</t>
  </si>
  <si>
    <t>డెబ్భై మూడు</t>
  </si>
  <si>
    <t>డెబ్భై నాలుగు</t>
  </si>
  <si>
    <t>డెబ్భై ఐదు</t>
  </si>
  <si>
    <t>డెబ్భై ఆరు</t>
  </si>
  <si>
    <t>డెబ్భై ఏడు</t>
  </si>
  <si>
    <t>డెబ్భై ఎనిమిది</t>
  </si>
  <si>
    <t>డెబ్భై తొమ్మిది</t>
  </si>
  <si>
    <t xml:space="preserve">ఎనభై </t>
  </si>
  <si>
    <t>ఎనభై ఒక్క</t>
  </si>
  <si>
    <t>ఎనభై రెండు</t>
  </si>
  <si>
    <t>ఎనభై మూడు</t>
  </si>
  <si>
    <t>ఎనభై నాలుగు</t>
  </si>
  <si>
    <t>ఎనభై ఐదు</t>
  </si>
  <si>
    <t>ఎనభై ఆరు</t>
  </si>
  <si>
    <t>ఎనభై ఏడు</t>
  </si>
  <si>
    <t>ఎనభై ఎనిమిది</t>
  </si>
  <si>
    <t>ఎనభై తొమ్మిది</t>
  </si>
  <si>
    <t>తొంభై</t>
  </si>
  <si>
    <t>తొంభై ఒక్క</t>
  </si>
  <si>
    <t>తొంభై రెండు</t>
  </si>
  <si>
    <t>తొంభై మూడు</t>
  </si>
  <si>
    <t>తొంభై నాలుగు</t>
  </si>
  <si>
    <t>తొంభై ఐదు</t>
  </si>
  <si>
    <t>తొంభై ఆరు</t>
  </si>
  <si>
    <t>తొంభై ఏడు</t>
  </si>
  <si>
    <t>తొంభై ఎనిమిది</t>
  </si>
  <si>
    <t>తొంభై తొమ్మిది</t>
  </si>
  <si>
    <t>M.P.P.S. (MAIN)</t>
  </si>
  <si>
    <t>M.P.P.S. (D.N.T)</t>
  </si>
  <si>
    <t>M.P.P.S. (A.A.)</t>
  </si>
  <si>
    <t>M.P.P.S. (S.W.)</t>
  </si>
  <si>
    <t>M.P.P.S. (URDU)</t>
  </si>
  <si>
    <t>Z.P.H.S.</t>
  </si>
  <si>
    <t>Z.P.H.S. (BOYS)</t>
  </si>
  <si>
    <t>Z.P.H.S. (GIRLS)</t>
  </si>
  <si>
    <t>Govt.Boys High School</t>
  </si>
  <si>
    <t>Govt. Girls High School</t>
  </si>
  <si>
    <t>ANANTHAPURAMU</t>
  </si>
  <si>
    <t>CHITTOR</t>
  </si>
  <si>
    <t>EAST GODAVARI</t>
  </si>
  <si>
    <t>GUNTUR</t>
  </si>
  <si>
    <t>KADAPA</t>
  </si>
  <si>
    <t>KRISHNA</t>
  </si>
  <si>
    <t>KURNOOL</t>
  </si>
  <si>
    <t>NELLORE</t>
  </si>
  <si>
    <t>PRAKASHAM</t>
  </si>
  <si>
    <t>SRIKAKULAM</t>
  </si>
  <si>
    <t>VIZIAYANAGARAM</t>
  </si>
  <si>
    <t>VISHAKAPATNAM</t>
  </si>
  <si>
    <t>WEST GODAVARI</t>
  </si>
  <si>
    <t>CPS DEDUCTION ను 80CCD (1B) SECTION కు
SPLIT చెయ్యాలి అంటే YES ను SELECT చెయ్యండి.</t>
  </si>
  <si>
    <t>GPF MONTHS</t>
  </si>
  <si>
    <r>
      <t xml:space="preserve">SAVINGS BY CASH U/s 80C
</t>
    </r>
    <r>
      <rPr>
        <b/>
        <sz val="11"/>
        <color theme="0"/>
        <rFont val="Century Gothic"/>
        <family val="2"/>
      </rPr>
      <t>TUTION FEE కింది BOX లో SELECTIONS ఉన్నాయి గమనించండి</t>
    </r>
  </si>
  <si>
    <t>మీరు Earned Leaves Encash చేసుకున్నారా ?</t>
  </si>
  <si>
    <t>13000-  390-14170-  430-15460-  470-16870-  510-18400-  550-
20050-  590-21820-  640-23740-  700-25840-  760-28120-  820-
30580-  880-33220-  950-36070-1030-39160-1110-42490-1190-
46060-1270-49870-1360-53950-1460-58330-1560-63010-1660-67990-1760-
73270-1880-78910-2020-84970-2160-91450-2330-100770-2520-110850 (80)</t>
  </si>
  <si>
    <t>LANGUAGE PANDIT</t>
  </si>
  <si>
    <t>PHYSICAL EDUCATION TEACHER</t>
  </si>
  <si>
    <t>PHYSICAL DIRECTOR</t>
  </si>
  <si>
    <t>School Assistant (Language)</t>
  </si>
  <si>
    <t>School Assistant (Non-Language)</t>
  </si>
  <si>
    <t>2017-18
MONTH</t>
  </si>
  <si>
    <t>40 శాతం అంగవైకల్యం కలిగిన మరియు అంధ ప్రభుత్వ ఉద్యోగులకు  వారి మూలవేతనంలో
10  శాతం చొప్పున ప్రతి నెల వేతనంతో పాటు కన్వేయన్సు అలవెన్సుగా చెల్లిస్తారు.
(1350 రూపాయలకు మించరాదు) (వెకేషన్ పీరియడ్ లో చెల్లించబడదు) G.O.Ms.No.159 ; తేదీ : 11.12.2015</t>
  </si>
  <si>
    <t>రూ. 2.5 లక్షల లోపు ఆదాయం ఉన్నవారికి పన్ను మినహాయింపు.
మూడున్నర లక్షల లోపు ఆదాయం ఉన్న వారికి రూ.2,500ల TAX REBATE ప్రకటించారు.
ఈ రిబేట్ కారణంగా మూడు లక్షల లోపు ఆదాయం ఉన్న వారికి అసలు TAX ఉండదు.
రూ. 5 లక్షల లోపు ఆదాయం ఉన్నవారికి 10 నుంచి 5 శాతానికి పన్ను తగ్గింపు.
రూ. 5 లక్షలకు పైబడి ఆదాయం ఉన్న వర్గాలకు పన్ను యథాతథం.</t>
  </si>
  <si>
    <t>ఏజెన్సీ ఏరియాలో నివసిస్తున్న వారికి , వారి మూలవేతనంలో అదనంగా 8% ఇంటి అద్దె మంజూరు చేయబడును.
( 2000 రూపాయలకు మించరాదు) ఇది 01.12.2015 నుండి మంజూరు చేయబడును.  G.O. Ms. No. 5 ; తేదీ : 08.01.2016</t>
  </si>
  <si>
    <t>ఈ ప్రక్క గమనిక చదవండి</t>
  </si>
  <si>
    <t>SECONDARY GRADE TEACHER</t>
  </si>
  <si>
    <t xml:space="preserve">
MANUAL
 ENTRIES</t>
  </si>
  <si>
    <t>HRA   ARREARS    ---&gt;</t>
  </si>
  <si>
    <t>HRA ARREARS</t>
  </si>
  <si>
    <t>OTHERS
(C.C.A.)</t>
  </si>
  <si>
    <t>OTHERS
(H.C.A.)</t>
  </si>
  <si>
    <t>( Rounded to multiple of Rs. 10 )</t>
  </si>
  <si>
    <t>Sept DA %
is Manual</t>
  </si>
  <si>
    <r>
      <t xml:space="preserve">ADVANCE
TAX 
</t>
    </r>
    <r>
      <rPr>
        <b/>
        <sz val="10"/>
        <color theme="0"/>
        <rFont val="Calibri"/>
        <family val="2"/>
      </rPr>
      <t>↓↓↓</t>
    </r>
  </si>
  <si>
    <t>1) Ananthapur  2)Chittoor   3)Eluru       4)Guntur                  5)Kakinada    6)Kadapa
7) Kurnool         8) Nellore   9)Ongole  10) Rajahmundry  11)Tirupathi</t>
  </si>
  <si>
    <t>S.S.S.
(L.I.C.)</t>
  </si>
  <si>
    <t>LIC PREMIUMS (BY HAND)</t>
  </si>
  <si>
    <t>E.W.F. DEDUCTION  =</t>
  </si>
  <si>
    <t>S.W.F. DEDUCTION  =</t>
  </si>
  <si>
    <t>H.C.A.
(Others)</t>
  </si>
  <si>
    <t>Child Fee Concession -&gt;</t>
  </si>
  <si>
    <r>
      <rPr>
        <b/>
        <sz val="14"/>
        <color theme="1"/>
        <rFont val="Calibri"/>
        <family val="2"/>
      </rPr>
      <t xml:space="preserve">↑ </t>
    </r>
    <r>
      <rPr>
        <b/>
        <sz val="14"/>
        <color theme="1"/>
        <rFont val="Berlin Sans FB Demi"/>
        <family val="2"/>
      </rPr>
      <t xml:space="preserve">manual entries </t>
    </r>
    <r>
      <rPr>
        <b/>
        <sz val="14"/>
        <color theme="1"/>
        <rFont val="Calibri"/>
        <family val="2"/>
      </rPr>
      <t>↑</t>
    </r>
  </si>
  <si>
    <r>
      <t xml:space="preserve">THANK YOU FOR USING THIS SOFTWARE.
</t>
    </r>
    <r>
      <rPr>
        <b/>
        <sz val="12"/>
        <color theme="1"/>
        <rFont val="Century Gothic"/>
        <family val="2"/>
      </rPr>
      <t xml:space="preserve">(Urs.. Ramanjaneyulu PERUMAL) </t>
    </r>
  </si>
  <si>
    <r>
      <rPr>
        <b/>
        <sz val="12"/>
        <color rgb="FF00B050"/>
        <rFont val="Calibri Light"/>
        <family val="2"/>
        <scheme val="major"/>
      </rPr>
      <t>Whatsapp</t>
    </r>
    <r>
      <rPr>
        <b/>
        <sz val="12"/>
        <color theme="1"/>
        <rFont val="Calibri Light"/>
        <family val="2"/>
        <scheme val="major"/>
      </rPr>
      <t xml:space="preserve">  :   99 63 53 53 04</t>
    </r>
  </si>
  <si>
    <t>మీరు CPS ఉద్యోగినా ? GPF ఉద్యోగినా ?
ఈ ఎంపిక తప్పనిసరి అని గ్రహించండి.</t>
  </si>
  <si>
    <t>HRA CHANGED</t>
  </si>
  <si>
    <t>FULL DAYS</t>
  </si>
  <si>
    <t>MONTH NO.</t>
  </si>
  <si>
    <t>MONTHLY
HRA
AMOUNT</t>
  </si>
  <si>
    <t>The ceiling of HRA is Rs.20,000 per month
for employees working and living in the Greater Hyderabad Municipal Corporation.
For other places, the ceiling of HRA shall be Rs.15,000. (G.O.Ms.No.48 ; Dt:30 April 2015)</t>
  </si>
  <si>
    <t>MONTHLY
HRA
Percentage</t>
  </si>
  <si>
    <t>2017 March లో మీ APGLI Deduction (ఎంపిక / నమోదు)</t>
  </si>
  <si>
    <t>2017 MARCH లో మీ SPL PAY_HMA_PP_FPI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</si>
</sst>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Rs.&quot;\ * #,##0_ ;_ &quot;Rs.&quot;\ * \-#,##0_ ;_ &quot;Rs.&quot;\ * &quot;-&quot;_ ;_ @_ "/>
    <numFmt numFmtId="165" formatCode="0.000%"/>
    <numFmt numFmtId="166" formatCode="[$-409]mmm/yy;@"/>
    <numFmt numFmtId="167" formatCode="[$-409]mmm\-yy;@"/>
    <numFmt numFmtId="168" formatCode="[$-409]mmmm\ d\,\ yyyy;@"/>
    <numFmt numFmtId="169" formatCode="&quot;Rs.&quot;\ #,##0"/>
    <numFmt numFmtId="170" formatCode="_-* #,##0_-;\-* #,##0_-;_-* &quot;-&quot;??_-;_-@_-"/>
    <numFmt numFmtId="171" formatCode="[$-14009]dd/mm/yyyy;@"/>
    <numFmt numFmtId="172" formatCode="[$-409]dd/mmm/yy;@"/>
    <numFmt numFmtId="173" formatCode="[$-A00044A]0"/>
  </numFmts>
  <fonts count="2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4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6"/>
      <color theme="1"/>
      <name val="Book Antiqua"/>
      <family val="1"/>
    </font>
    <font>
      <sz val="14"/>
      <color theme="1"/>
      <name val="Berlin Sans FB Demi"/>
      <family val="2"/>
    </font>
    <font>
      <b/>
      <sz val="12"/>
      <color theme="1"/>
      <name val="Century Gothic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Book Antiqua"/>
      <family val="1"/>
    </font>
    <font>
      <b/>
      <sz val="8"/>
      <color theme="1"/>
      <name val="Century Gothic"/>
      <family val="2"/>
    </font>
    <font>
      <b/>
      <u/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</font>
    <font>
      <b/>
      <sz val="18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1"/>
      <name val="Book Antiqua"/>
      <family val="1"/>
    </font>
    <font>
      <b/>
      <sz val="10"/>
      <name val="Arial"/>
      <family val="2"/>
    </font>
    <font>
      <b/>
      <u/>
      <sz val="9"/>
      <name val="Book Antiqua"/>
      <family val="1"/>
    </font>
    <font>
      <u/>
      <sz val="9"/>
      <name val="Book Antiqua"/>
      <family val="1"/>
    </font>
    <font>
      <b/>
      <sz val="9"/>
      <name val="Book Antiqua"/>
      <family val="1"/>
    </font>
    <font>
      <b/>
      <sz val="10"/>
      <name val="Book Antiqua"/>
      <family val="1"/>
    </font>
    <font>
      <sz val="10"/>
      <name val="Calibri"/>
      <family val="2"/>
    </font>
    <font>
      <b/>
      <sz val="14"/>
      <name val="Calibri"/>
      <family val="2"/>
    </font>
    <font>
      <b/>
      <sz val="11"/>
      <name val="Times New Roman"/>
      <family val="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</font>
    <font>
      <b/>
      <sz val="10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Book Antiqua"/>
      <family val="1"/>
    </font>
    <font>
      <b/>
      <sz val="12"/>
      <color indexed="8"/>
      <name val="Calibri"/>
      <family val="2"/>
      <scheme val="minor"/>
    </font>
    <font>
      <b/>
      <sz val="12"/>
      <color indexed="8"/>
      <name val="Book Antiqua"/>
      <family val="1"/>
    </font>
    <font>
      <sz val="9"/>
      <color theme="1"/>
      <name val="Calibri"/>
      <family val="2"/>
    </font>
    <font>
      <b/>
      <sz val="11"/>
      <color theme="1"/>
      <name val="Arial"/>
      <family val="2"/>
    </font>
    <font>
      <sz val="12"/>
      <name val="Calibri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</font>
    <font>
      <sz val="8"/>
      <color rgb="FF00B0F0"/>
      <name val="Calibri"/>
      <family val="2"/>
      <scheme val="minor"/>
    </font>
    <font>
      <b/>
      <sz val="26"/>
      <color rgb="FFFF0000"/>
      <name val="Berlin Sans FB Demi"/>
      <family val="2"/>
    </font>
    <font>
      <b/>
      <sz val="14"/>
      <color theme="1"/>
      <name val="Berlin Sans FB Demi"/>
      <family val="2"/>
    </font>
    <font>
      <b/>
      <sz val="12"/>
      <color theme="0"/>
      <name val="Book Antiqua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indexed="12"/>
      <name val="Book Antiqua"/>
      <family val="1"/>
    </font>
    <font>
      <b/>
      <sz val="10"/>
      <color indexed="8"/>
      <name val="Book Antiqua"/>
      <family val="1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Book Antiqua"/>
      <family val="1"/>
    </font>
    <font>
      <b/>
      <sz val="8"/>
      <color theme="1"/>
      <name val="Calibri"/>
      <family val="2"/>
    </font>
    <font>
      <b/>
      <sz val="12"/>
      <color rgb="FF0070C0"/>
      <name val="Century Gothic"/>
      <family val="2"/>
    </font>
    <font>
      <b/>
      <sz val="9"/>
      <color theme="1"/>
      <name val="Century Gothic"/>
      <family val="2"/>
    </font>
    <font>
      <b/>
      <u/>
      <sz val="12"/>
      <color theme="1"/>
      <name val="Book Antiqua"/>
      <family val="1"/>
    </font>
    <font>
      <b/>
      <sz val="11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b/>
      <sz val="12"/>
      <color rgb="FF7030A0"/>
      <name val="Century Gothic"/>
      <family val="2"/>
    </font>
    <font>
      <b/>
      <sz val="14"/>
      <color rgb="FF7030A0"/>
      <name val="Century Gothic"/>
      <family val="2"/>
    </font>
    <font>
      <b/>
      <sz val="14"/>
      <color theme="4"/>
      <name val="Century Gothic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rgb="FFFF0000"/>
      <name val="Calibri Light"/>
      <family val="2"/>
    </font>
    <font>
      <b/>
      <sz val="11"/>
      <color theme="4"/>
      <name val="Century Gothic"/>
      <family val="2"/>
    </font>
    <font>
      <b/>
      <sz val="14"/>
      <name val="Century Gothic"/>
      <family val="2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rgb="FF7030A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7030A0"/>
      <name val="Calibri"/>
      <family val="2"/>
    </font>
    <font>
      <b/>
      <sz val="10"/>
      <color rgb="FF7030A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24"/>
      <name val="Calibri"/>
      <family val="2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"/>
      <color rgb="FFFF000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FF0000"/>
      <name val="Berlin Sans FB Demi"/>
      <family val="2"/>
    </font>
    <font>
      <b/>
      <sz val="8"/>
      <color theme="1"/>
      <name val="Berlin Sans FB Demi"/>
      <family val="2"/>
    </font>
    <font>
      <b/>
      <sz val="8"/>
      <color rgb="FFFF0000"/>
      <name val="Calibri"/>
      <family val="2"/>
    </font>
    <font>
      <b/>
      <u/>
      <sz val="8"/>
      <color rgb="FFFF0000"/>
      <name val="Calibri Light"/>
      <family val="2"/>
    </font>
    <font>
      <b/>
      <sz val="8"/>
      <color theme="4"/>
      <name val="Century Gothic"/>
      <family val="2"/>
    </font>
    <font>
      <b/>
      <sz val="8"/>
      <color rgb="FF7030A0"/>
      <name val="Century Gothic"/>
      <family val="2"/>
    </font>
    <font>
      <b/>
      <sz val="9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 Light"/>
      <family val="2"/>
      <scheme val="major"/>
    </font>
    <font>
      <b/>
      <sz val="11"/>
      <color rgb="FF00B050"/>
      <name val="Calibri Light"/>
      <family val="2"/>
      <scheme val="major"/>
    </font>
    <font>
      <b/>
      <u/>
      <sz val="11"/>
      <color theme="0"/>
      <name val="Calibri Light"/>
      <family val="2"/>
      <scheme val="major"/>
    </font>
    <font>
      <sz val="12"/>
      <color rgb="FF9C0006"/>
      <name val="Calibri"/>
      <family val="2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sz val="12"/>
      <color theme="1"/>
      <name val="Arial"/>
      <family val="2"/>
      <charset val="1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charset val="1"/>
    </font>
    <font>
      <sz val="10"/>
      <color theme="1"/>
      <name val="Arial"/>
      <family val="2"/>
      <charset val="1"/>
    </font>
    <font>
      <b/>
      <sz val="11"/>
      <color theme="1"/>
      <name val="Calibri"/>
      <family val="2"/>
      <charset val="1"/>
    </font>
    <font>
      <b/>
      <sz val="13"/>
      <color theme="1"/>
      <name val="Book Antiqua"/>
      <family val="1"/>
    </font>
    <font>
      <b/>
      <sz val="10"/>
      <color theme="1"/>
      <name val="Century Gothic"/>
      <family val="2"/>
    </font>
    <font>
      <b/>
      <sz val="42"/>
      <color theme="1"/>
      <name val="Calibri"/>
      <family val="2"/>
      <scheme val="minor"/>
    </font>
    <font>
      <b/>
      <sz val="42"/>
      <color theme="0"/>
      <name val="Calibri"/>
      <family val="2"/>
      <scheme val="minor"/>
    </font>
    <font>
      <b/>
      <sz val="11"/>
      <color theme="0"/>
      <name val="Century Gothic"/>
      <family val="2"/>
    </font>
    <font>
      <b/>
      <sz val="22"/>
      <color theme="0"/>
      <name val="Century Gothic"/>
      <family val="2"/>
    </font>
    <font>
      <b/>
      <sz val="18"/>
      <color theme="0"/>
      <name val="Book Antiqua"/>
      <family val="1"/>
    </font>
    <font>
      <b/>
      <sz val="13"/>
      <color theme="1"/>
      <name val="Calibri"/>
      <family val="2"/>
      <scheme val="minor"/>
    </font>
    <font>
      <b/>
      <u/>
      <sz val="18"/>
      <color rgb="FFFF000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6"/>
      <color theme="0"/>
      <name val="Book Antiqua"/>
      <family val="1"/>
    </font>
    <font>
      <b/>
      <sz val="14"/>
      <color theme="0"/>
      <name val="Book Antiqua"/>
      <family val="1"/>
    </font>
    <font>
      <b/>
      <sz val="10"/>
      <color rgb="FF00B0F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Gautami"/>
      <family val="2"/>
    </font>
    <font>
      <b/>
      <sz val="12"/>
      <color theme="1"/>
      <name val="Gautami"/>
      <family val="2"/>
    </font>
    <font>
      <b/>
      <sz val="11"/>
      <color theme="1"/>
      <name val="Gautami"/>
      <family val="2"/>
    </font>
    <font>
      <b/>
      <sz val="12"/>
      <color rgb="FFFF0000"/>
      <name val="Gautami"/>
      <family val="2"/>
    </font>
    <font>
      <b/>
      <sz val="12.5"/>
      <color rgb="FFFF0000"/>
      <name val="Gautami"/>
      <family val="2"/>
    </font>
    <font>
      <b/>
      <sz val="18"/>
      <color theme="1"/>
      <name val="Calibri Light"/>
      <family val="2"/>
      <scheme val="major"/>
    </font>
    <font>
      <b/>
      <sz val="11"/>
      <color theme="0"/>
      <name val="Gautami"/>
      <family val="2"/>
    </font>
    <font>
      <b/>
      <sz val="13"/>
      <color theme="1"/>
      <name val="Gautami"/>
      <family val="2"/>
    </font>
    <font>
      <b/>
      <sz val="13"/>
      <color rgb="FFFF0000"/>
      <name val="Gautami"/>
      <family val="2"/>
    </font>
    <font>
      <b/>
      <sz val="10"/>
      <color theme="1"/>
      <name val="Gautami"/>
      <family val="2"/>
    </font>
    <font>
      <b/>
      <sz val="14"/>
      <color theme="1"/>
      <name val="Gautami"/>
      <family val="2"/>
    </font>
    <font>
      <b/>
      <sz val="22"/>
      <color rgb="FFFF0000"/>
      <name val="Gautami"/>
      <family val="2"/>
    </font>
    <font>
      <b/>
      <sz val="12"/>
      <color rgb="FF0070C0"/>
      <name val="Gautami"/>
      <family val="2"/>
    </font>
    <font>
      <b/>
      <sz val="16"/>
      <color theme="0"/>
      <name val="Berlin Sans FB Demi"/>
      <family val="2"/>
    </font>
    <font>
      <b/>
      <sz val="11"/>
      <color rgb="FFC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entury Gothic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b/>
      <sz val="10"/>
      <color theme="0"/>
      <name val="Calibri Light"/>
      <family val="2"/>
      <scheme val="major"/>
    </font>
    <font>
      <b/>
      <sz val="20"/>
      <color rgb="FF7030A0"/>
      <name val="Calibri"/>
      <family val="2"/>
      <scheme val="minor"/>
    </font>
    <font>
      <b/>
      <sz val="11"/>
      <color rgb="FFFF0000"/>
      <name val="Gautami"/>
      <family val="2"/>
    </font>
    <font>
      <b/>
      <sz val="10"/>
      <color rgb="FFC0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00B050"/>
      <name val="Calibri Light"/>
      <family val="2"/>
      <scheme val="major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1"/>
      <color rgb="FFFF0000"/>
      <name val="Calibri Light"/>
      <family val="2"/>
    </font>
    <font>
      <b/>
      <sz val="24"/>
      <color rgb="FFFF0000"/>
      <name val="Calibri"/>
      <family val="2"/>
      <scheme val="minor"/>
    </font>
    <font>
      <b/>
      <sz val="12"/>
      <color rgb="FFFF0000"/>
      <name val="Century Gothic"/>
      <family val="2"/>
    </font>
    <font>
      <b/>
      <sz val="12"/>
      <color rgb="FFFF0000"/>
      <name val="Calibri Light"/>
      <family val="2"/>
    </font>
    <font>
      <b/>
      <sz val="10.5"/>
      <color rgb="FF002060"/>
      <name val="Gautami"/>
      <family val="2"/>
    </font>
    <font>
      <b/>
      <sz val="13"/>
      <color theme="1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sz val="10"/>
      <color theme="1"/>
      <name val="Calibri Light"/>
      <family val="2"/>
    </font>
    <font>
      <b/>
      <sz val="11"/>
      <color theme="1"/>
      <name val="Calibri"/>
      <family val="2"/>
    </font>
    <font>
      <b/>
      <sz val="10"/>
      <color rgb="FFFF0000"/>
      <name val="Calibri Light"/>
      <family val="2"/>
    </font>
    <font>
      <b/>
      <sz val="13"/>
      <color theme="1"/>
      <name val="Calibri"/>
      <family val="2"/>
    </font>
    <font>
      <b/>
      <sz val="10.5"/>
      <color theme="1"/>
      <name val="Gautami"/>
      <family val="2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92D050"/>
        <bgColor rgb="FFFF9900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68A1E"/>
        <bgColor indexed="64"/>
      </patternFill>
    </fill>
    <fill>
      <patternFill patternType="solid">
        <fgColor rgb="FFFF0000"/>
        <bgColor indexed="64"/>
      </patternFill>
    </fill>
  </fills>
  <borders count="1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10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6" fillId="0" borderId="0"/>
    <xf numFmtId="0" fontId="3" fillId="0" borderId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28" fillId="17" borderId="0" applyNumberFormat="0" applyBorder="0" applyAlignment="0" applyProtection="0"/>
    <xf numFmtId="0" fontId="146" fillId="0" borderId="0"/>
  </cellStyleXfs>
  <cellXfs count="1128">
    <xf numFmtId="0" fontId="0" fillId="0" borderId="0" xfId="0"/>
    <xf numFmtId="0" fontId="6" fillId="0" borderId="0" xfId="0" applyFont="1"/>
    <xf numFmtId="0" fontId="10" fillId="0" borderId="0" xfId="0" applyFont="1"/>
    <xf numFmtId="0" fontId="3" fillId="0" borderId="0" xfId="2"/>
    <xf numFmtId="0" fontId="21" fillId="0" borderId="0" xfId="2" applyFont="1"/>
    <xf numFmtId="0" fontId="16" fillId="0" borderId="0" xfId="1" applyAlignment="1">
      <alignment horizontal="center"/>
    </xf>
    <xf numFmtId="0" fontId="16" fillId="0" borderId="0" xfId="1"/>
    <xf numFmtId="0" fontId="24" fillId="0" borderId="0" xfId="1" applyFont="1" applyAlignment="1">
      <alignment horizontal="center"/>
    </xf>
    <xf numFmtId="0" fontId="16" fillId="0" borderId="0" xfId="4" applyNumberFormat="1" applyFont="1" applyAlignment="1">
      <alignment horizontal="right"/>
    </xf>
    <xf numFmtId="0" fontId="16" fillId="0" borderId="0" xfId="1" applyNumberFormat="1" applyAlignment="1">
      <alignment horizontal="right"/>
    </xf>
    <xf numFmtId="0" fontId="25" fillId="0" borderId="0" xfId="1" applyFont="1"/>
    <xf numFmtId="0" fontId="28" fillId="0" borderId="22" xfId="1" applyFont="1" applyFill="1" applyBorder="1" applyAlignment="1" applyProtection="1">
      <alignment vertical="center"/>
      <protection hidden="1"/>
    </xf>
    <xf numFmtId="0" fontId="26" fillId="0" borderId="23" xfId="1" applyFont="1" applyFill="1" applyBorder="1" applyAlignment="1" applyProtection="1">
      <alignment vertical="center"/>
      <protection hidden="1"/>
    </xf>
    <xf numFmtId="0" fontId="26" fillId="0" borderId="19" xfId="1" applyFont="1" applyFill="1" applyBorder="1" applyAlignment="1" applyProtection="1">
      <alignment vertical="center"/>
      <protection hidden="1"/>
    </xf>
    <xf numFmtId="0" fontId="27" fillId="0" borderId="19" xfId="1" applyFont="1" applyFill="1" applyBorder="1" applyAlignment="1" applyProtection="1">
      <alignment vertical="center"/>
      <protection hidden="1"/>
    </xf>
    <xf numFmtId="0" fontId="26" fillId="0" borderId="22" xfId="1" applyFont="1" applyFill="1" applyBorder="1" applyAlignment="1" applyProtection="1">
      <alignment horizontal="center" vertical="center"/>
      <protection hidden="1"/>
    </xf>
    <xf numFmtId="0" fontId="27" fillId="0" borderId="23" xfId="1" applyFont="1" applyFill="1" applyBorder="1" applyAlignment="1" applyProtection="1">
      <alignment vertical="center"/>
      <protection hidden="1"/>
    </xf>
    <xf numFmtId="0" fontId="28" fillId="0" borderId="22" xfId="1" applyFont="1" applyFill="1" applyBorder="1" applyAlignment="1" applyProtection="1">
      <alignment horizontal="center" vertical="center"/>
      <protection hidden="1"/>
    </xf>
    <xf numFmtId="0" fontId="27" fillId="0" borderId="22" xfId="1" applyFont="1" applyFill="1" applyBorder="1" applyAlignment="1" applyProtection="1">
      <alignment vertical="center"/>
      <protection hidden="1"/>
    </xf>
    <xf numFmtId="0" fontId="26" fillId="0" borderId="15" xfId="1" applyFont="1" applyFill="1" applyBorder="1" applyAlignment="1" applyProtection="1">
      <alignment vertical="center"/>
      <protection hidden="1"/>
    </xf>
    <xf numFmtId="0" fontId="11" fillId="0" borderId="23" xfId="1" applyFont="1" applyFill="1" applyBorder="1" applyAlignment="1" applyProtection="1">
      <alignment vertical="center"/>
      <protection hidden="1"/>
    </xf>
    <xf numFmtId="0" fontId="11" fillId="0" borderId="19" xfId="1" applyFont="1" applyFill="1" applyBorder="1" applyAlignment="1" applyProtection="1">
      <alignment vertical="center"/>
      <protection hidden="1"/>
    </xf>
    <xf numFmtId="0" fontId="26" fillId="0" borderId="18" xfId="1" applyFont="1" applyFill="1" applyBorder="1" applyAlignment="1" applyProtection="1">
      <alignment vertical="center"/>
      <protection hidden="1"/>
    </xf>
    <xf numFmtId="0" fontId="26" fillId="0" borderId="22" xfId="1" applyFont="1" applyFill="1" applyBorder="1" applyAlignment="1" applyProtection="1">
      <alignment vertical="center"/>
      <protection hidden="1"/>
    </xf>
    <xf numFmtId="0" fontId="11" fillId="0" borderId="18" xfId="1" applyFont="1" applyFill="1" applyBorder="1" applyAlignment="1" applyProtection="1">
      <alignment vertical="center"/>
      <protection hidden="1"/>
    </xf>
    <xf numFmtId="0" fontId="30" fillId="0" borderId="22" xfId="1" applyFont="1" applyFill="1" applyBorder="1" applyAlignment="1" applyProtection="1">
      <alignment horizontal="center" vertical="center"/>
      <protection hidden="1"/>
    </xf>
    <xf numFmtId="9" fontId="28" fillId="0" borderId="22" xfId="1" applyNumberFormat="1" applyFont="1" applyFill="1" applyBorder="1" applyAlignment="1" applyProtection="1">
      <alignment horizontal="left"/>
      <protection hidden="1"/>
    </xf>
    <xf numFmtId="0" fontId="9" fillId="0" borderId="22" xfId="1" applyFont="1" applyFill="1" applyBorder="1" applyAlignment="1" applyProtection="1">
      <alignment horizontal="center" vertical="center"/>
      <protection hidden="1"/>
    </xf>
    <xf numFmtId="0" fontId="26" fillId="0" borderId="22" xfId="1" applyFont="1" applyFill="1" applyBorder="1" applyAlignment="1" applyProtection="1">
      <alignment horizontal="left" vertical="center"/>
      <protection hidden="1"/>
    </xf>
    <xf numFmtId="0" fontId="11" fillId="0" borderId="15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0" fontId="11" fillId="0" borderId="0" xfId="1" applyFont="1" applyFill="1" applyBorder="1" applyAlignment="1" applyProtection="1">
      <protection hidden="1"/>
    </xf>
    <xf numFmtId="0" fontId="16" fillId="0" borderId="0" xfId="1" applyAlignment="1">
      <alignment horizontal="center" vertical="center"/>
    </xf>
    <xf numFmtId="0" fontId="45" fillId="0" borderId="8" xfId="1" applyFont="1" applyBorder="1" applyAlignment="1" applyProtection="1">
      <alignment horizontal="center" vertical="center"/>
      <protection hidden="1"/>
    </xf>
    <xf numFmtId="0" fontId="52" fillId="0" borderId="8" xfId="1" applyFont="1" applyBorder="1" applyAlignment="1" applyProtection="1">
      <alignment vertical="center"/>
      <protection hidden="1"/>
    </xf>
    <xf numFmtId="0" fontId="52" fillId="0" borderId="0" xfId="1" applyFont="1" applyBorder="1" applyAlignment="1" applyProtection="1">
      <alignment horizontal="right" vertical="center"/>
      <protection hidden="1"/>
    </xf>
    <xf numFmtId="0" fontId="52" fillId="0" borderId="5" xfId="1" applyFont="1" applyBorder="1" applyAlignment="1" applyProtection="1">
      <alignment horizontal="center" vertical="center"/>
      <protection hidden="1"/>
    </xf>
    <xf numFmtId="3" fontId="54" fillId="0" borderId="0" xfId="1" applyNumberFormat="1" applyFont="1" applyBorder="1" applyAlignment="1" applyProtection="1">
      <alignment vertical="center"/>
      <protection hidden="1"/>
    </xf>
    <xf numFmtId="3" fontId="52" fillId="0" borderId="5" xfId="1" applyNumberFormat="1" applyFont="1" applyBorder="1" applyAlignment="1" applyProtection="1">
      <alignment horizontal="center" vertical="center"/>
      <protection hidden="1"/>
    </xf>
    <xf numFmtId="3" fontId="54" fillId="0" borderId="0" xfId="1" applyNumberFormat="1" applyFont="1" applyBorder="1" applyAlignment="1" applyProtection="1">
      <alignment horizontal="left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3" fontId="52" fillId="0" borderId="0" xfId="1" applyNumberFormat="1" applyFont="1" applyFill="1" applyBorder="1" applyAlignment="1" applyProtection="1">
      <alignment horizontal="right" vertical="center"/>
      <protection hidden="1"/>
    </xf>
    <xf numFmtId="0" fontId="52" fillId="0" borderId="0" xfId="1" applyFont="1" applyFill="1" applyBorder="1" applyAlignment="1" applyProtection="1">
      <alignment vertical="center"/>
      <protection hidden="1"/>
    </xf>
    <xf numFmtId="3" fontId="52" fillId="0" borderId="0" xfId="1" applyNumberFormat="1" applyFont="1" applyFill="1" applyBorder="1" applyAlignment="1" applyProtection="1">
      <alignment vertical="center"/>
      <protection hidden="1"/>
    </xf>
    <xf numFmtId="0" fontId="56" fillId="0" borderId="0" xfId="1" applyFont="1" applyBorder="1" applyAlignment="1" applyProtection="1">
      <alignment vertical="center"/>
      <protection hidden="1"/>
    </xf>
    <xf numFmtId="0" fontId="53" fillId="0" borderId="0" xfId="1" applyFont="1" applyBorder="1" applyProtection="1">
      <protection hidden="1"/>
    </xf>
    <xf numFmtId="1" fontId="39" fillId="0" borderId="5" xfId="1" applyNumberFormat="1" applyFont="1" applyBorder="1" applyAlignment="1" applyProtection="1">
      <alignment horizontal="center" vertical="center"/>
      <protection hidden="1"/>
    </xf>
    <xf numFmtId="168" fontId="39" fillId="0" borderId="5" xfId="1" applyNumberFormat="1" applyFont="1" applyBorder="1" applyAlignment="1" applyProtection="1">
      <alignment horizontal="center" vertical="center"/>
      <protection hidden="1"/>
    </xf>
    <xf numFmtId="0" fontId="53" fillId="0" borderId="5" xfId="1" applyFont="1" applyBorder="1" applyAlignment="1" applyProtection="1">
      <alignment horizontal="center" vertical="center"/>
      <protection hidden="1"/>
    </xf>
    <xf numFmtId="0" fontId="53" fillId="0" borderId="0" xfId="1" applyFont="1" applyBorder="1" applyAlignment="1" applyProtection="1">
      <alignment horizontal="center"/>
      <protection hidden="1"/>
    </xf>
    <xf numFmtId="0" fontId="60" fillId="0" borderId="0" xfId="1" applyFont="1" applyBorder="1" applyProtection="1">
      <protection hidden="1"/>
    </xf>
    <xf numFmtId="0" fontId="31" fillId="0" borderId="0" xfId="1" applyFont="1" applyBorder="1" applyProtection="1">
      <protection hidden="1"/>
    </xf>
    <xf numFmtId="49" fontId="31" fillId="0" borderId="0" xfId="1" applyNumberFormat="1" applyFont="1" applyBorder="1" applyAlignment="1" applyProtection="1">
      <alignment horizontal="left"/>
      <protection hidden="1"/>
    </xf>
    <xf numFmtId="3" fontId="54" fillId="0" borderId="0" xfId="1" applyNumberFormat="1" applyFont="1" applyBorder="1" applyAlignment="1" applyProtection="1">
      <alignment horizontal="right" vertical="center"/>
      <protection hidden="1"/>
    </xf>
    <xf numFmtId="1" fontId="48" fillId="0" borderId="34" xfId="1" applyNumberFormat="1" applyFont="1" applyBorder="1" applyAlignment="1" applyProtection="1">
      <alignment horizontal="center" vertical="center"/>
      <protection hidden="1"/>
    </xf>
    <xf numFmtId="1" fontId="48" fillId="0" borderId="10" xfId="1" applyNumberFormat="1" applyFont="1" applyBorder="1" applyAlignment="1" applyProtection="1">
      <alignment horizontal="center" vertical="center"/>
      <protection hidden="1"/>
    </xf>
    <xf numFmtId="0" fontId="11" fillId="0" borderId="0" xfId="1" applyFont="1" applyBorder="1" applyAlignment="1" applyProtection="1">
      <alignment horizontal="right" vertical="center"/>
      <protection hidden="1"/>
    </xf>
    <xf numFmtId="0" fontId="39" fillId="0" borderId="5" xfId="1" applyNumberFormat="1" applyFont="1" applyBorder="1" applyAlignment="1" applyProtection="1">
      <alignment vertical="center"/>
      <protection hidden="1"/>
    </xf>
    <xf numFmtId="0" fontId="19" fillId="0" borderId="49" xfId="1" applyFont="1" applyFill="1" applyBorder="1" applyAlignment="1" applyProtection="1">
      <alignment horizontal="right" vertical="center"/>
      <protection hidden="1"/>
    </xf>
    <xf numFmtId="164" fontId="11" fillId="0" borderId="50" xfId="1" applyNumberFormat="1" applyFont="1" applyFill="1" applyBorder="1" applyAlignment="1" applyProtection="1">
      <alignment horizontal="left" vertical="center"/>
      <protection hidden="1"/>
    </xf>
    <xf numFmtId="0" fontId="19" fillId="0" borderId="18" xfId="1" applyFont="1" applyFill="1" applyBorder="1" applyAlignment="1" applyProtection="1">
      <alignment horizontal="right" vertical="center"/>
      <protection hidden="1"/>
    </xf>
    <xf numFmtId="164" fontId="11" fillId="0" borderId="25" xfId="1" applyNumberFormat="1" applyFont="1" applyFill="1" applyBorder="1" applyAlignment="1" applyProtection="1">
      <alignment horizontal="left" vertical="center"/>
      <protection hidden="1"/>
    </xf>
    <xf numFmtId="169" fontId="18" fillId="0" borderId="38" xfId="1" applyNumberFormat="1" applyFont="1" applyFill="1" applyBorder="1" applyAlignment="1" applyProtection="1">
      <alignment horizontal="center" vertical="center"/>
      <protection hidden="1"/>
    </xf>
    <xf numFmtId="164" fontId="11" fillId="0" borderId="51" xfId="1" applyNumberFormat="1" applyFont="1" applyFill="1" applyBorder="1" applyAlignment="1" applyProtection="1">
      <alignment horizontal="left" vertical="center"/>
      <protection hidden="1"/>
    </xf>
    <xf numFmtId="0" fontId="23" fillId="0" borderId="0" xfId="2" applyFont="1" applyBorder="1" applyAlignment="1" applyProtection="1">
      <alignment vertical="center"/>
    </xf>
    <xf numFmtId="0" fontId="23" fillId="0" borderId="0" xfId="5" applyFont="1" applyBorder="1" applyAlignment="1" applyProtection="1">
      <alignment vertical="center"/>
    </xf>
    <xf numFmtId="0" fontId="2" fillId="0" borderId="0" xfId="5" applyAlignment="1"/>
    <xf numFmtId="0" fontId="52" fillId="0" borderId="32" xfId="1" applyFont="1" applyFill="1" applyBorder="1" applyAlignment="1" applyProtection="1">
      <alignment vertical="center"/>
      <protection hidden="1"/>
    </xf>
    <xf numFmtId="0" fontId="52" fillId="0" borderId="0" xfId="1" applyNumberFormat="1" applyFont="1" applyFill="1" applyBorder="1" applyAlignment="1" applyProtection="1">
      <alignment vertical="center"/>
      <protection hidden="1"/>
    </xf>
    <xf numFmtId="0" fontId="52" fillId="0" borderId="32" xfId="1" applyNumberFormat="1" applyFont="1" applyFill="1" applyBorder="1" applyAlignment="1" applyProtection="1">
      <alignment vertical="center"/>
      <protection hidden="1"/>
    </xf>
    <xf numFmtId="0" fontId="44" fillId="0" borderId="8" xfId="1" applyFont="1" applyBorder="1" applyAlignment="1" applyProtection="1">
      <alignment vertical="center"/>
      <protection hidden="1"/>
    </xf>
    <xf numFmtId="0" fontId="40" fillId="0" borderId="12" xfId="1" applyFont="1" applyBorder="1" applyAlignment="1" applyProtection="1">
      <alignment horizontal="center" vertical="center"/>
      <protection hidden="1"/>
    </xf>
    <xf numFmtId="164" fontId="74" fillId="0" borderId="0" xfId="1" applyNumberFormat="1" applyFont="1" applyBorder="1" applyAlignment="1" applyProtection="1">
      <alignment vertical="center"/>
      <protection hidden="1"/>
    </xf>
    <xf numFmtId="164" fontId="47" fillId="0" borderId="0" xfId="1" applyNumberFormat="1" applyFont="1" applyFill="1" applyBorder="1" applyAlignment="1" applyProtection="1">
      <alignment vertical="center"/>
      <protection hidden="1"/>
    </xf>
    <xf numFmtId="164" fontId="47" fillId="0" borderId="1" xfId="1" applyNumberFormat="1" applyFont="1" applyBorder="1" applyAlignment="1" applyProtection="1">
      <alignment vertical="center"/>
      <protection hidden="1"/>
    </xf>
    <xf numFmtId="164" fontId="74" fillId="0" borderId="8" xfId="1" applyNumberFormat="1" applyFont="1" applyBorder="1" applyAlignment="1" applyProtection="1">
      <alignment vertical="center"/>
      <protection hidden="1"/>
    </xf>
    <xf numFmtId="164" fontId="47" fillId="0" borderId="5" xfId="1" applyNumberFormat="1" applyFont="1" applyBorder="1" applyAlignment="1" applyProtection="1">
      <alignment vertical="center"/>
      <protection hidden="1"/>
    </xf>
    <xf numFmtId="164" fontId="75" fillId="0" borderId="0" xfId="1" applyNumberFormat="1" applyFont="1" applyBorder="1" applyAlignment="1" applyProtection="1">
      <alignment horizontal="right" vertical="center"/>
      <protection hidden="1"/>
    </xf>
    <xf numFmtId="164" fontId="75" fillId="0" borderId="0" xfId="1" applyNumberFormat="1" applyFont="1" applyBorder="1" applyAlignment="1" applyProtection="1">
      <alignment vertical="center"/>
      <protection hidden="1"/>
    </xf>
    <xf numFmtId="164" fontId="47" fillId="0" borderId="5" xfId="1" applyNumberFormat="1" applyFont="1" applyFill="1" applyBorder="1" applyProtection="1">
      <protection hidden="1"/>
    </xf>
    <xf numFmtId="164" fontId="47" fillId="0" borderId="33" xfId="1" applyNumberFormat="1" applyFont="1" applyBorder="1" applyAlignment="1" applyProtection="1">
      <alignment vertical="center"/>
      <protection hidden="1"/>
    </xf>
    <xf numFmtId="164" fontId="47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5" applyBorder="1" applyAlignment="1"/>
    <xf numFmtId="0" fontId="60" fillId="0" borderId="0" xfId="1" applyFont="1" applyBorder="1" applyAlignment="1" applyProtection="1">
      <alignment vertical="center"/>
      <protection hidden="1"/>
    </xf>
    <xf numFmtId="0" fontId="61" fillId="0" borderId="0" xfId="1" applyFont="1" applyBorder="1" applyAlignment="1" applyProtection="1">
      <alignment vertical="center"/>
      <protection hidden="1"/>
    </xf>
    <xf numFmtId="0" fontId="74" fillId="0" borderId="5" xfId="1" applyFont="1" applyBorder="1" applyAlignment="1" applyProtection="1">
      <alignment vertical="center"/>
      <protection hidden="1"/>
    </xf>
    <xf numFmtId="164" fontId="11" fillId="0" borderId="5" xfId="1" applyNumberFormat="1" applyFont="1" applyBorder="1" applyAlignment="1" applyProtection="1">
      <alignment horizontal="center" vertical="center"/>
      <protection hidden="1"/>
    </xf>
    <xf numFmtId="0" fontId="77" fillId="0" borderId="0" xfId="1" applyFont="1" applyBorder="1" applyAlignment="1" applyProtection="1">
      <alignment vertical="center"/>
      <protection hidden="1"/>
    </xf>
    <xf numFmtId="0" fontId="77" fillId="0" borderId="32" xfId="1" applyFont="1" applyBorder="1" applyAlignment="1" applyProtection="1">
      <alignment vertical="center"/>
      <protection hidden="1"/>
    </xf>
    <xf numFmtId="0" fontId="52" fillId="0" borderId="31" xfId="1" applyFont="1" applyBorder="1" applyAlignment="1" applyProtection="1">
      <alignment vertical="center"/>
      <protection hidden="1"/>
    </xf>
    <xf numFmtId="9" fontId="52" fillId="0" borderId="0" xfId="1" applyNumberFormat="1" applyFont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horizontal="right"/>
      <protection hidden="1"/>
    </xf>
    <xf numFmtId="0" fontId="19" fillId="0" borderId="20" xfId="1" applyFont="1" applyFill="1" applyBorder="1" applyAlignment="1" applyProtection="1">
      <alignment vertical="center"/>
      <protection hidden="1"/>
    </xf>
    <xf numFmtId="0" fontId="11" fillId="0" borderId="20" xfId="1" applyFont="1" applyFill="1" applyBorder="1" applyAlignment="1" applyProtection="1">
      <alignment horizontal="center" vertical="center"/>
      <protection hidden="1"/>
    </xf>
    <xf numFmtId="0" fontId="78" fillId="0" borderId="0" xfId="1" applyFont="1" applyFill="1" applyBorder="1" applyAlignment="1" applyProtection="1">
      <alignment vertical="center"/>
      <protection hidden="1"/>
    </xf>
    <xf numFmtId="0" fontId="19" fillId="0" borderId="0" xfId="1" applyFont="1" applyBorder="1" applyAlignment="1" applyProtection="1">
      <alignment horizontal="right" vertical="center"/>
      <protection hidden="1"/>
    </xf>
    <xf numFmtId="0" fontId="80" fillId="0" borderId="0" xfId="1" applyFont="1" applyBorder="1" applyAlignment="1" applyProtection="1">
      <alignment horizontal="right" vertical="center"/>
      <protection hidden="1"/>
    </xf>
    <xf numFmtId="0" fontId="27" fillId="0" borderId="19" xfId="1" applyFont="1" applyFill="1" applyBorder="1" applyAlignment="1" applyProtection="1">
      <alignment horizontal="left" vertical="center"/>
      <protection hidden="1"/>
    </xf>
    <xf numFmtId="0" fontId="28" fillId="0" borderId="23" xfId="1" applyFont="1" applyFill="1" applyBorder="1" applyAlignment="1" applyProtection="1">
      <alignment horizontal="center" vertical="center"/>
      <protection hidden="1"/>
    </xf>
    <xf numFmtId="0" fontId="47" fillId="0" borderId="5" xfId="1" applyFont="1" applyBorder="1" applyAlignment="1" applyProtection="1">
      <alignment horizontal="center" vertical="center" wrapText="1"/>
      <protection hidden="1"/>
    </xf>
    <xf numFmtId="0" fontId="16" fillId="0" borderId="22" xfId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16" fillId="0" borderId="0" xfId="1" applyAlignment="1" applyProtection="1">
      <alignment horizontal="center" vertical="center"/>
      <protection hidden="1"/>
    </xf>
    <xf numFmtId="0" fontId="16" fillId="0" borderId="0" xfId="1" applyProtection="1">
      <protection hidden="1"/>
    </xf>
    <xf numFmtId="0" fontId="79" fillId="0" borderId="0" xfId="1" applyFont="1" applyBorder="1" applyProtection="1">
      <protection hidden="1"/>
    </xf>
    <xf numFmtId="0" fontId="16" fillId="0" borderId="0" xfId="1" applyBorder="1" applyProtection="1">
      <protection hidden="1"/>
    </xf>
    <xf numFmtId="0" fontId="3" fillId="0" borderId="0" xfId="2" applyBorder="1" applyProtection="1">
      <protection hidden="1"/>
    </xf>
    <xf numFmtId="0" fontId="22" fillId="0" borderId="0" xfId="2" applyFont="1" applyBorder="1" applyAlignment="1" applyProtection="1">
      <alignment vertical="center"/>
      <protection hidden="1"/>
    </xf>
    <xf numFmtId="0" fontId="64" fillId="0" borderId="42" xfId="1" applyFont="1" applyBorder="1" applyAlignment="1" applyProtection="1">
      <alignment vertical="center"/>
      <protection hidden="1"/>
    </xf>
    <xf numFmtId="0" fontId="64" fillId="0" borderId="0" xfId="1" applyFont="1" applyBorder="1" applyAlignment="1" applyProtection="1">
      <alignment vertical="center"/>
      <protection hidden="1"/>
    </xf>
    <xf numFmtId="0" fontId="64" fillId="0" borderId="43" xfId="1" applyFont="1" applyBorder="1" applyAlignment="1" applyProtection="1">
      <alignment vertical="center"/>
      <protection hidden="1"/>
    </xf>
    <xf numFmtId="0" fontId="64" fillId="0" borderId="44" xfId="1" applyFont="1" applyBorder="1" applyAlignment="1" applyProtection="1">
      <alignment vertical="center"/>
      <protection hidden="1"/>
    </xf>
    <xf numFmtId="0" fontId="64" fillId="0" borderId="45" xfId="1" applyFont="1" applyBorder="1" applyAlignment="1" applyProtection="1">
      <alignment vertical="center"/>
      <protection hidden="1"/>
    </xf>
    <xf numFmtId="0" fontId="64" fillId="0" borderId="46" xfId="1" applyFont="1" applyBorder="1" applyAlignment="1" applyProtection="1">
      <alignment vertical="center"/>
      <protection hidden="1"/>
    </xf>
    <xf numFmtId="0" fontId="63" fillId="0" borderId="39" xfId="1" applyFont="1" applyBorder="1" applyAlignment="1" applyProtection="1">
      <alignment horizontal="center" vertical="center"/>
      <protection hidden="1"/>
    </xf>
    <xf numFmtId="0" fontId="63" fillId="0" borderId="40" xfId="1" applyFont="1" applyBorder="1" applyAlignment="1" applyProtection="1">
      <alignment horizontal="center" vertical="center"/>
      <protection hidden="1"/>
    </xf>
    <xf numFmtId="0" fontId="63" fillId="0" borderId="41" xfId="1" applyFont="1" applyBorder="1" applyAlignment="1" applyProtection="1">
      <alignment horizontal="center" vertical="center"/>
      <protection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13" fillId="0" borderId="0" xfId="1" applyFont="1" applyBorder="1" applyAlignment="1" applyProtection="1">
      <alignment horizontal="left" vertical="top" wrapText="1"/>
      <protection hidden="1"/>
    </xf>
    <xf numFmtId="0" fontId="4" fillId="0" borderId="42" xfId="1" applyFont="1" applyBorder="1" applyAlignment="1" applyProtection="1">
      <alignment horizontal="center" vertical="center" wrapText="1"/>
      <protection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0" fontId="4" fillId="0" borderId="43" xfId="1" applyFont="1" applyBorder="1" applyAlignment="1" applyProtection="1">
      <alignment horizontal="center" vertical="center" wrapText="1"/>
      <protection hidden="1"/>
    </xf>
    <xf numFmtId="0" fontId="39" fillId="0" borderId="0" xfId="1" applyNumberFormat="1" applyFont="1" applyBorder="1" applyAlignment="1" applyProtection="1">
      <alignment vertical="center"/>
      <protection hidden="1"/>
    </xf>
    <xf numFmtId="0" fontId="53" fillId="0" borderId="0" xfId="1" applyFont="1" applyBorder="1" applyAlignment="1" applyProtection="1">
      <alignment horizontal="center" vertical="center"/>
      <protection hidden="1"/>
    </xf>
    <xf numFmtId="0" fontId="26" fillId="0" borderId="16" xfId="1" applyFont="1" applyFill="1" applyBorder="1" applyAlignment="1" applyProtection="1">
      <alignment vertical="center"/>
      <protection hidden="1"/>
    </xf>
    <xf numFmtId="0" fontId="18" fillId="0" borderId="0" xfId="1" applyFont="1" applyBorder="1" applyAlignment="1" applyProtection="1">
      <alignment horizontal="right"/>
      <protection hidden="1"/>
    </xf>
    <xf numFmtId="0" fontId="57" fillId="0" borderId="11" xfId="1" applyFont="1" applyBorder="1" applyAlignment="1" applyProtection="1">
      <alignment horizontal="right" vertical="center"/>
      <protection hidden="1"/>
    </xf>
    <xf numFmtId="0" fontId="57" fillId="0" borderId="12" xfId="1" applyFont="1" applyBorder="1" applyAlignment="1" applyProtection="1">
      <alignment horizontal="right" vertical="center"/>
      <protection hidden="1"/>
    </xf>
    <xf numFmtId="0" fontId="8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horizontal="center"/>
    </xf>
    <xf numFmtId="0" fontId="11" fillId="0" borderId="8" xfId="1" applyFont="1" applyFill="1" applyBorder="1" applyAlignment="1" applyProtection="1">
      <protection hidden="1"/>
    </xf>
    <xf numFmtId="0" fontId="89" fillId="0" borderId="0" xfId="0" applyFont="1" applyBorder="1" applyAlignment="1">
      <alignment vertical="center"/>
    </xf>
    <xf numFmtId="0" fontId="23" fillId="0" borderId="0" xfId="0" applyFont="1" applyFill="1" applyBorder="1" applyAlignment="1" applyProtection="1">
      <alignment vertical="center" wrapText="1"/>
      <protection hidden="1"/>
    </xf>
    <xf numFmtId="0" fontId="82" fillId="0" borderId="0" xfId="0" applyFont="1" applyBorder="1" applyAlignment="1" applyProtection="1">
      <alignment vertical="center"/>
      <protection hidden="1"/>
    </xf>
    <xf numFmtId="0" fontId="94" fillId="0" borderId="0" xfId="0" applyFont="1" applyBorder="1" applyAlignment="1" applyProtection="1">
      <alignment vertical="center"/>
      <protection hidden="1"/>
    </xf>
    <xf numFmtId="0" fontId="90" fillId="0" borderId="0" xfId="0" applyNumberFormat="1" applyFont="1" applyFill="1" applyBorder="1" applyAlignment="1" applyProtection="1">
      <alignment vertical="center" wrapText="1"/>
      <protection hidden="1"/>
    </xf>
    <xf numFmtId="0" fontId="14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/>
    <xf numFmtId="0" fontId="10" fillId="0" borderId="0" xfId="0" applyFont="1" applyFill="1" applyBorder="1" applyAlignment="1">
      <alignment vertical="center"/>
    </xf>
    <xf numFmtId="1" fontId="4" fillId="0" borderId="5" xfId="2" applyNumberFormat="1" applyFont="1" applyBorder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11" fillId="13" borderId="76" xfId="0" applyFont="1" applyFill="1" applyBorder="1" applyAlignment="1" applyProtection="1">
      <alignment horizontal="center" vertical="center" wrapText="1"/>
    </xf>
    <xf numFmtId="0" fontId="18" fillId="13" borderId="75" xfId="0" quotePrefix="1" applyFont="1" applyFill="1" applyBorder="1" applyAlignment="1" applyProtection="1">
      <alignment horizontal="center" vertical="center" wrapText="1"/>
    </xf>
    <xf numFmtId="0" fontId="18" fillId="13" borderId="5" xfId="0" quotePrefix="1" applyFont="1" applyFill="1" applyBorder="1" applyAlignment="1" applyProtection="1">
      <alignment horizontal="center" vertical="center" wrapText="1"/>
    </xf>
    <xf numFmtId="0" fontId="18" fillId="13" borderId="76" xfId="0" quotePrefix="1" applyFont="1" applyFill="1" applyBorder="1" applyAlignment="1" applyProtection="1">
      <alignment horizontal="center" vertical="center" wrapText="1"/>
    </xf>
    <xf numFmtId="0" fontId="19" fillId="13" borderId="79" xfId="0" applyFont="1" applyFill="1" applyBorder="1" applyAlignment="1" applyProtection="1">
      <alignment horizontal="center" vertical="center" wrapText="1"/>
    </xf>
    <xf numFmtId="0" fontId="19" fillId="13" borderId="82" xfId="0" applyFont="1" applyFill="1" applyBorder="1" applyAlignment="1" applyProtection="1">
      <alignment horizontal="center" vertical="center" wrapText="1"/>
    </xf>
    <xf numFmtId="0" fontId="19" fillId="13" borderId="85" xfId="0" applyFont="1" applyFill="1" applyBorder="1" applyAlignment="1" applyProtection="1">
      <alignment horizontal="center" vertical="center" wrapText="1"/>
    </xf>
    <xf numFmtId="0" fontId="19" fillId="13" borderId="75" xfId="0" applyFont="1" applyFill="1" applyBorder="1" applyAlignment="1" applyProtection="1">
      <alignment horizontal="center" vertical="center" wrapText="1"/>
    </xf>
    <xf numFmtId="0" fontId="11" fillId="13" borderId="81" xfId="0" applyFont="1" applyFill="1" applyBorder="1" applyAlignment="1" applyProtection="1">
      <alignment horizontal="right" vertical="top" wrapText="1"/>
    </xf>
    <xf numFmtId="0" fontId="11" fillId="13" borderId="95" xfId="0" applyFont="1" applyFill="1" applyBorder="1" applyAlignment="1" applyProtection="1">
      <alignment horizontal="right" vertical="top" wrapText="1"/>
    </xf>
    <xf numFmtId="164" fontId="11" fillId="13" borderId="21" xfId="4" applyNumberFormat="1" applyFont="1" applyFill="1" applyBorder="1" applyAlignment="1" applyProtection="1">
      <alignment horizontal="right" vertical="top" wrapText="1"/>
    </xf>
    <xf numFmtId="0" fontId="11" fillId="13" borderId="84" xfId="0" applyFont="1" applyFill="1" applyBorder="1" applyAlignment="1" applyProtection="1">
      <alignment horizontal="right" vertical="top" wrapText="1"/>
    </xf>
    <xf numFmtId="170" fontId="11" fillId="13" borderId="21" xfId="4" applyNumberFormat="1" applyFont="1" applyFill="1" applyBorder="1" applyAlignment="1" applyProtection="1">
      <alignment horizontal="right" vertical="top" wrapText="1"/>
    </xf>
    <xf numFmtId="0" fontId="11" fillId="13" borderId="84" xfId="0" applyFont="1" applyFill="1" applyBorder="1" applyAlignment="1" applyProtection="1">
      <alignment horizontal="right" vertical="top"/>
    </xf>
    <xf numFmtId="170" fontId="11" fillId="13" borderId="98" xfId="4" applyNumberFormat="1" applyFont="1" applyFill="1" applyBorder="1" applyAlignment="1" applyProtection="1">
      <alignment horizontal="right" vertical="top" wrapText="1"/>
    </xf>
    <xf numFmtId="0" fontId="11" fillId="13" borderId="99" xfId="0" applyFont="1" applyFill="1" applyBorder="1" applyAlignment="1" applyProtection="1">
      <alignment horizontal="right" vertical="top" wrapText="1"/>
    </xf>
    <xf numFmtId="170" fontId="11" fillId="13" borderId="17" xfId="4" applyNumberFormat="1" applyFont="1" applyFill="1" applyBorder="1" applyAlignment="1" applyProtection="1">
      <alignment horizontal="right" vertical="top" wrapText="1"/>
    </xf>
    <xf numFmtId="170" fontId="11" fillId="13" borderId="87" xfId="4" applyNumberFormat="1" applyFont="1" applyFill="1" applyBorder="1" applyAlignment="1" applyProtection="1">
      <alignment horizontal="right" vertical="top" wrapText="1"/>
    </xf>
    <xf numFmtId="0" fontId="11" fillId="13" borderId="88" xfId="0" applyFont="1" applyFill="1" applyBorder="1" applyAlignment="1" applyProtection="1">
      <alignment horizontal="right" vertical="top" wrapText="1"/>
    </xf>
    <xf numFmtId="0" fontId="11" fillId="13" borderId="17" xfId="0" applyFont="1" applyFill="1" applyBorder="1" applyAlignment="1" applyProtection="1">
      <alignment horizontal="right" vertical="top" wrapText="1"/>
    </xf>
    <xf numFmtId="0" fontId="11" fillId="13" borderId="21" xfId="0" applyFont="1" applyFill="1" applyBorder="1" applyAlignment="1" applyProtection="1">
      <alignment horizontal="right" vertical="top" wrapText="1"/>
    </xf>
    <xf numFmtId="0" fontId="11" fillId="13" borderId="83" xfId="0" applyFont="1" applyFill="1" applyBorder="1" applyAlignment="1" applyProtection="1">
      <alignment horizontal="right" vertical="top" wrapText="1"/>
    </xf>
    <xf numFmtId="164" fontId="11" fillId="13" borderId="21" xfId="0" applyNumberFormat="1" applyFont="1" applyFill="1" applyBorder="1" applyAlignment="1" applyProtection="1">
      <alignment horizontal="right" vertical="top" wrapText="1"/>
    </xf>
    <xf numFmtId="0" fontId="11" fillId="13" borderId="83" xfId="0" applyFont="1" applyFill="1" applyBorder="1" applyAlignment="1" applyProtection="1">
      <alignment vertical="top" wrapText="1"/>
    </xf>
    <xf numFmtId="164" fontId="11" fillId="13" borderId="21" xfId="4" applyNumberFormat="1" applyFont="1" applyFill="1" applyBorder="1" applyAlignment="1" applyProtection="1">
      <alignment horizontal="right" wrapText="1"/>
    </xf>
    <xf numFmtId="0" fontId="11" fillId="13" borderId="86" xfId="0" applyFont="1" applyFill="1" applyBorder="1" applyAlignment="1" applyProtection="1">
      <alignment vertical="top" wrapText="1"/>
    </xf>
    <xf numFmtId="0" fontId="11" fillId="13" borderId="93" xfId="0" applyFont="1" applyFill="1" applyBorder="1" applyAlignment="1" applyProtection="1">
      <alignment vertical="top" wrapText="1"/>
    </xf>
    <xf numFmtId="0" fontId="11" fillId="13" borderId="75" xfId="0" applyFont="1" applyFill="1" applyBorder="1" applyAlignment="1" applyProtection="1">
      <alignment horizontal="center" vertical="center"/>
    </xf>
    <xf numFmtId="0" fontId="11" fillId="13" borderId="5" xfId="0" applyFont="1" applyFill="1" applyBorder="1" applyAlignment="1" applyProtection="1">
      <alignment horizontal="center" vertical="center" wrapText="1"/>
    </xf>
    <xf numFmtId="0" fontId="11" fillId="13" borderId="20" xfId="0" applyFont="1" applyFill="1" applyBorder="1" applyAlignment="1" applyProtection="1">
      <alignment wrapText="1"/>
    </xf>
    <xf numFmtId="0" fontId="11" fillId="0" borderId="16" xfId="1" applyFont="1" applyFill="1" applyBorder="1" applyAlignment="1" applyProtection="1">
      <alignment horizontal="center" vertical="center"/>
      <protection hidden="1"/>
    </xf>
    <xf numFmtId="0" fontId="19" fillId="13" borderId="84" xfId="0" applyFont="1" applyFill="1" applyBorder="1" applyAlignment="1" applyProtection="1">
      <alignment horizontal="right" wrapText="1"/>
    </xf>
    <xf numFmtId="0" fontId="19" fillId="13" borderId="84" xfId="0" applyFont="1" applyFill="1" applyBorder="1" applyAlignment="1" applyProtection="1">
      <alignment horizontal="right"/>
    </xf>
    <xf numFmtId="0" fontId="19" fillId="13" borderId="84" xfId="0" applyFont="1" applyFill="1" applyBorder="1" applyAlignment="1" applyProtection="1">
      <alignment horizontal="right" vertical="top" wrapText="1"/>
    </xf>
    <xf numFmtId="1" fontId="14" fillId="0" borderId="5" xfId="0" applyNumberFormat="1" applyFont="1" applyBorder="1" applyProtection="1">
      <protection locked="0"/>
    </xf>
    <xf numFmtId="0" fontId="97" fillId="0" borderId="0" xfId="0" applyFont="1" applyFill="1" applyBorder="1" applyAlignment="1">
      <alignment vertical="center" wrapText="1"/>
    </xf>
    <xf numFmtId="0" fontId="11" fillId="13" borderId="87" xfId="4" applyNumberFormat="1" applyFont="1" applyFill="1" applyBorder="1" applyAlignment="1" applyProtection="1">
      <alignment horizontal="right" vertical="top" wrapText="1"/>
    </xf>
    <xf numFmtId="0" fontId="68" fillId="0" borderId="0" xfId="0" applyFont="1" applyBorder="1" applyAlignment="1" applyProtection="1">
      <alignment horizontal="center" vertical="center"/>
      <protection hidden="1"/>
    </xf>
    <xf numFmtId="0" fontId="69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center" vertical="center" wrapText="1"/>
    </xf>
    <xf numFmtId="0" fontId="86" fillId="0" borderId="0" xfId="0" applyFont="1" applyBorder="1" applyAlignment="1" applyProtection="1">
      <alignment horizontal="left" vertical="center"/>
      <protection hidden="1"/>
    </xf>
    <xf numFmtId="0" fontId="65" fillId="0" borderId="0" xfId="0" applyFont="1" applyBorder="1" applyAlignment="1" applyProtection="1">
      <alignment horizontal="left" vertical="center" wrapText="1"/>
      <protection hidden="1"/>
    </xf>
    <xf numFmtId="0" fontId="10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72" fillId="0" borderId="0" xfId="0" applyFont="1" applyFill="1" applyBorder="1" applyAlignment="1">
      <alignment horizontal="left" wrapText="1"/>
    </xf>
    <xf numFmtId="0" fontId="72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117" fillId="0" borderId="0" xfId="0" applyFont="1" applyBorder="1" applyAlignment="1" applyProtection="1">
      <alignment horizontal="center" vertical="center"/>
      <protection hidden="1"/>
    </xf>
    <xf numFmtId="0" fontId="118" fillId="0" borderId="0" xfId="0" applyFont="1" applyBorder="1" applyAlignment="1" applyProtection="1">
      <alignment horizontal="center" vertical="center" wrapText="1"/>
      <protection hidden="1"/>
    </xf>
    <xf numFmtId="0" fontId="81" fillId="0" borderId="0" xfId="0" applyNumberFormat="1" applyFont="1" applyFill="1" applyBorder="1" applyAlignment="1" applyProtection="1">
      <alignment vertical="center" wrapText="1"/>
      <protection hidden="1"/>
    </xf>
    <xf numFmtId="0" fontId="119" fillId="0" borderId="0" xfId="0" applyFont="1" applyFill="1" applyBorder="1" applyAlignment="1" applyProtection="1">
      <alignment vertical="center" wrapText="1"/>
      <protection hidden="1"/>
    </xf>
    <xf numFmtId="0" fontId="112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 wrapText="1"/>
      <protection hidden="1"/>
    </xf>
    <xf numFmtId="0" fontId="119" fillId="0" borderId="0" xfId="0" applyFont="1" applyFill="1" applyBorder="1" applyAlignment="1" applyProtection="1">
      <alignment vertical="center"/>
      <protection hidden="1"/>
    </xf>
    <xf numFmtId="0" fontId="120" fillId="0" borderId="0" xfId="0" applyFont="1" applyBorder="1" applyAlignment="1" applyProtection="1">
      <alignment vertical="center"/>
      <protection hidden="1"/>
    </xf>
    <xf numFmtId="0" fontId="121" fillId="0" borderId="0" xfId="0" applyNumberFormat="1" applyFont="1" applyFill="1" applyBorder="1" applyAlignment="1" applyProtection="1">
      <alignment vertical="center" wrapText="1"/>
      <protection hidden="1"/>
    </xf>
    <xf numFmtId="0" fontId="49" fillId="5" borderId="105" xfId="0" applyFont="1" applyFill="1" applyBorder="1" applyAlignment="1" applyProtection="1">
      <alignment vertical="center"/>
      <protection hidden="1"/>
    </xf>
    <xf numFmtId="0" fontId="14" fillId="6" borderId="105" xfId="0" applyFont="1" applyFill="1" applyBorder="1" applyAlignment="1" applyProtection="1">
      <alignment vertical="center"/>
      <protection hidden="1"/>
    </xf>
    <xf numFmtId="0" fontId="14" fillId="7" borderId="105" xfId="0" applyFont="1" applyFill="1" applyBorder="1" applyAlignment="1" applyProtection="1">
      <alignment vertical="center"/>
      <protection hidden="1"/>
    </xf>
    <xf numFmtId="0" fontId="14" fillId="8" borderId="105" xfId="0" applyFont="1" applyFill="1" applyBorder="1" applyAlignment="1" applyProtection="1">
      <alignment vertical="center"/>
      <protection hidden="1"/>
    </xf>
    <xf numFmtId="166" fontId="5" fillId="0" borderId="5" xfId="0" applyNumberFormat="1" applyFont="1" applyFill="1" applyBorder="1" applyAlignment="1" applyProtection="1">
      <alignment horizontal="right" vertical="center"/>
      <protection locked="0" hidden="1"/>
    </xf>
    <xf numFmtId="166" fontId="51" fillId="0" borderId="5" xfId="0" applyNumberFormat="1" applyFont="1" applyFill="1" applyBorder="1" applyAlignment="1" applyProtection="1">
      <alignment horizontal="right" vertical="center"/>
      <protection locked="0" hidden="1"/>
    </xf>
    <xf numFmtId="0" fontId="92" fillId="0" borderId="5" xfId="0" applyFont="1" applyFill="1" applyBorder="1" applyAlignment="1" applyProtection="1">
      <alignment horizontal="right"/>
      <protection locked="0"/>
    </xf>
    <xf numFmtId="10" fontId="91" fillId="0" borderId="5" xfId="0" applyNumberFormat="1" applyFont="1" applyFill="1" applyBorder="1" applyProtection="1">
      <protection locked="0" hidden="1"/>
    </xf>
    <xf numFmtId="0" fontId="64" fillId="0" borderId="5" xfId="0" applyFont="1" applyFill="1" applyBorder="1" applyAlignment="1" applyProtection="1">
      <alignment horizontal="right" vertical="center"/>
      <protection locked="0" hidden="1"/>
    </xf>
    <xf numFmtId="166" fontId="10" fillId="0" borderId="5" xfId="0" applyNumberFormat="1" applyFont="1" applyFill="1" applyBorder="1" applyAlignment="1" applyProtection="1">
      <alignment horizontal="right" vertical="center"/>
      <protection locked="0" hidden="1"/>
    </xf>
    <xf numFmtId="0" fontId="65" fillId="0" borderId="5" xfId="0" applyFont="1" applyFill="1" applyBorder="1" applyAlignment="1" applyProtection="1">
      <alignment horizontal="right"/>
      <protection locked="0" hidden="1"/>
    </xf>
    <xf numFmtId="1" fontId="65" fillId="0" borderId="5" xfId="0" applyNumberFormat="1" applyFont="1" applyFill="1" applyBorder="1" applyAlignment="1" applyProtection="1">
      <alignment horizontal="right" vertical="center"/>
      <protection locked="0" hidden="1"/>
    </xf>
    <xf numFmtId="0" fontId="65" fillId="0" borderId="5" xfId="0" applyFont="1" applyBorder="1" applyProtection="1">
      <protection locked="0" hidden="1"/>
    </xf>
    <xf numFmtId="0" fontId="12" fillId="2" borderId="5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10" fontId="0" fillId="14" borderId="5" xfId="0" applyNumberFormat="1" applyFont="1" applyFill="1" applyBorder="1" applyProtection="1">
      <protection hidden="1"/>
    </xf>
    <xf numFmtId="1" fontId="14" fillId="3" borderId="5" xfId="0" applyNumberFormat="1" applyFont="1" applyFill="1" applyBorder="1" applyProtection="1">
      <protection hidden="1"/>
    </xf>
    <xf numFmtId="1" fontId="104" fillId="3" borderId="5" xfId="0" applyNumberFormat="1" applyFont="1" applyFill="1" applyBorder="1" applyProtection="1">
      <protection hidden="1"/>
    </xf>
    <xf numFmtId="0" fontId="65" fillId="0" borderId="5" xfId="0" applyFont="1" applyBorder="1" applyAlignment="1" applyProtection="1">
      <alignment horizontal="right"/>
      <protection locked="0"/>
    </xf>
    <xf numFmtId="1" fontId="104" fillId="0" borderId="5" xfId="0" applyNumberFormat="1" applyFont="1" applyFill="1" applyBorder="1" applyProtection="1">
      <protection locked="0"/>
    </xf>
    <xf numFmtId="165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5" xfId="0" applyFont="1" applyFill="1" applyBorder="1" applyAlignment="1" applyProtection="1">
      <alignment horizontal="center" vertical="center" wrapText="1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hidden="1"/>
    </xf>
    <xf numFmtId="0" fontId="128" fillId="17" borderId="5" xfId="7" applyBorder="1" applyAlignment="1" applyProtection="1">
      <alignment horizontal="center" vertical="center" wrapText="1"/>
      <protection hidden="1"/>
    </xf>
    <xf numFmtId="0" fontId="128" fillId="17" borderId="5" xfId="7" applyBorder="1" applyAlignment="1" applyProtection="1">
      <alignment horizontal="center" vertical="center"/>
      <protection hidden="1"/>
    </xf>
    <xf numFmtId="0" fontId="107" fillId="0" borderId="0" xfId="0" applyFont="1" applyAlignment="1" applyProtection="1">
      <alignment horizontal="center" vertical="center" wrapText="1"/>
      <protection hidden="1"/>
    </xf>
    <xf numFmtId="1" fontId="34" fillId="3" borderId="106" xfId="0" applyNumberFormat="1" applyFont="1" applyFill="1" applyBorder="1" applyProtection="1">
      <protection hidden="1"/>
    </xf>
    <xf numFmtId="166" fontId="9" fillId="4" borderId="12" xfId="0" applyNumberFormat="1" applyFont="1" applyFill="1" applyBorder="1" applyProtection="1">
      <protection hidden="1"/>
    </xf>
    <xf numFmtId="166" fontId="129" fillId="0" borderId="5" xfId="0" applyNumberFormat="1" applyFont="1" applyFill="1" applyBorder="1" applyAlignment="1" applyProtection="1">
      <alignment horizontal="center" vertical="center"/>
      <protection hidden="1"/>
    </xf>
    <xf numFmtId="17" fontId="9" fillId="4" borderId="5" xfId="0" applyNumberFormat="1" applyFont="1" applyFill="1" applyBorder="1" applyProtection="1">
      <protection hidden="1"/>
    </xf>
    <xf numFmtId="0" fontId="129" fillId="0" borderId="48" xfId="0" applyFont="1" applyFill="1" applyBorder="1" applyAlignment="1" applyProtection="1">
      <alignment horizontal="center"/>
      <protection hidden="1"/>
    </xf>
    <xf numFmtId="0" fontId="114" fillId="0" borderId="0" xfId="0" applyFont="1" applyBorder="1" applyProtection="1">
      <protection hidden="1"/>
    </xf>
    <xf numFmtId="0" fontId="128" fillId="17" borderId="5" xfId="7" applyBorder="1" applyProtection="1">
      <protection hidden="1"/>
    </xf>
    <xf numFmtId="0" fontId="24" fillId="0" borderId="0" xfId="0" applyFont="1" applyBorder="1" applyProtection="1">
      <protection hidden="1"/>
    </xf>
    <xf numFmtId="0" fontId="34" fillId="0" borderId="106" xfId="0" applyFont="1" applyBorder="1" applyProtection="1">
      <protection hidden="1"/>
    </xf>
    <xf numFmtId="0" fontId="133" fillId="0" borderId="106" xfId="0" applyFont="1" applyFill="1" applyBorder="1" applyProtection="1">
      <protection hidden="1"/>
    </xf>
    <xf numFmtId="166" fontId="9" fillId="0" borderId="12" xfId="0" applyNumberFormat="1" applyFont="1" applyFill="1" applyBorder="1" applyProtection="1">
      <protection hidden="1"/>
    </xf>
    <xf numFmtId="17" fontId="9" fillId="0" borderId="5" xfId="0" applyNumberFormat="1" applyFont="1" applyFill="1" applyBorder="1" applyProtection="1">
      <protection hidden="1"/>
    </xf>
    <xf numFmtId="0" fontId="35" fillId="0" borderId="0" xfId="0" applyFont="1" applyBorder="1" applyProtection="1">
      <protection hidden="1"/>
    </xf>
    <xf numFmtId="0" fontId="17" fillId="0" borderId="0" xfId="0" applyFont="1" applyProtection="1">
      <protection hidden="1"/>
    </xf>
    <xf numFmtId="0" fontId="9" fillId="3" borderId="5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7" fontId="9" fillId="0" borderId="0" xfId="0" applyNumberFormat="1" applyFont="1" applyFill="1" applyBorder="1" applyProtection="1">
      <protection hidden="1"/>
    </xf>
    <xf numFmtId="0" fontId="124" fillId="0" borderId="0" xfId="0" applyFont="1" applyFill="1" applyBorder="1" applyProtection="1">
      <protection hidden="1"/>
    </xf>
    <xf numFmtId="166" fontId="9" fillId="0" borderId="0" xfId="0" applyNumberFormat="1" applyFont="1" applyFill="1" applyBorder="1" applyProtection="1">
      <protection hidden="1"/>
    </xf>
    <xf numFmtId="166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17" fontId="126" fillId="0" borderId="0" xfId="0" applyNumberFormat="1" applyFont="1" applyFill="1" applyBorder="1" applyProtection="1">
      <protection hidden="1"/>
    </xf>
    <xf numFmtId="0" fontId="110" fillId="0" borderId="0" xfId="0" applyFont="1" applyFill="1" applyBorder="1" applyProtection="1">
      <protection hidden="1"/>
    </xf>
    <xf numFmtId="0" fontId="52" fillId="0" borderId="0" xfId="0" applyFont="1" applyFill="1" applyBorder="1" applyAlignment="1" applyProtection="1">
      <alignment horizontal="center" vertical="center"/>
      <protection hidden="1"/>
    </xf>
    <xf numFmtId="0" fontId="97" fillId="0" borderId="3" xfId="0" applyFont="1" applyBorder="1" applyAlignment="1" applyProtection="1">
      <alignment horizontal="center" vertical="center"/>
      <protection hidden="1"/>
    </xf>
    <xf numFmtId="0" fontId="97" fillId="0" borderId="4" xfId="0" applyFont="1" applyBorder="1" applyAlignment="1" applyProtection="1">
      <alignment horizontal="center" vertical="center"/>
      <protection hidden="1"/>
    </xf>
    <xf numFmtId="0" fontId="81" fillId="0" borderId="0" xfId="0" applyFont="1" applyBorder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34" fillId="0" borderId="5" xfId="0" applyFont="1" applyBorder="1" applyAlignment="1" applyProtection="1">
      <alignment horizontal="center" vertical="center" wrapText="1"/>
      <protection hidden="1"/>
    </xf>
    <xf numFmtId="0" fontId="34" fillId="0" borderId="6" xfId="0" applyFont="1" applyBorder="1" applyAlignment="1" applyProtection="1">
      <alignment horizontal="center" vertical="center" wrapText="1"/>
      <protection hidden="1"/>
    </xf>
    <xf numFmtId="0" fontId="112" fillId="0" borderId="0" xfId="0" applyFont="1" applyFill="1" applyBorder="1" applyAlignment="1" applyProtection="1">
      <alignment horizontal="center" vertical="center" wrapText="1"/>
      <protection hidden="1"/>
    </xf>
    <xf numFmtId="0" fontId="64" fillId="3" borderId="7" xfId="0" applyFont="1" applyFill="1" applyBorder="1" applyAlignment="1" applyProtection="1">
      <alignment horizontal="center" vertical="center"/>
      <protection hidden="1"/>
    </xf>
    <xf numFmtId="0" fontId="24" fillId="0" borderId="0" xfId="1" applyFont="1" applyBorder="1" applyProtection="1">
      <protection hidden="1"/>
    </xf>
    <xf numFmtId="0" fontId="112" fillId="0" borderId="0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right"/>
      <protection hidden="1"/>
    </xf>
    <xf numFmtId="0" fontId="81" fillId="0" borderId="0" xfId="0" applyFont="1" applyBorder="1" applyAlignment="1" applyProtection="1">
      <protection hidden="1"/>
    </xf>
    <xf numFmtId="0" fontId="112" fillId="0" borderId="0" xfId="0" applyFont="1" applyBorder="1" applyProtection="1">
      <protection hidden="1"/>
    </xf>
    <xf numFmtId="0" fontId="116" fillId="0" borderId="0" xfId="0" applyFont="1" applyFill="1" applyBorder="1" applyAlignment="1" applyProtection="1">
      <alignment horizontal="center" vertical="center" wrapText="1"/>
      <protection hidden="1"/>
    </xf>
    <xf numFmtId="0" fontId="112" fillId="0" borderId="0" xfId="0" applyFont="1" applyFill="1" applyBorder="1" applyAlignment="1" applyProtection="1">
      <alignment vertical="center" wrapText="1"/>
      <protection hidden="1"/>
    </xf>
    <xf numFmtId="0" fontId="71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31" fillId="0" borderId="0" xfId="0" applyFont="1" applyBorder="1" applyAlignment="1" applyProtection="1">
      <alignment vertical="center"/>
      <protection hidden="1"/>
    </xf>
    <xf numFmtId="0" fontId="113" fillId="0" borderId="0" xfId="0" applyFont="1" applyBorder="1" applyProtection="1">
      <protection hidden="1"/>
    </xf>
    <xf numFmtId="17" fontId="115" fillId="0" borderId="0" xfId="0" applyNumberFormat="1" applyFont="1" applyBorder="1" applyProtection="1">
      <protection hidden="1"/>
    </xf>
    <xf numFmtId="17" fontId="112" fillId="0" borderId="0" xfId="0" applyNumberFormat="1" applyFont="1" applyBorder="1" applyProtection="1">
      <protection hidden="1"/>
    </xf>
    <xf numFmtId="0" fontId="131" fillId="0" borderId="0" xfId="0" applyFont="1" applyBorder="1" applyProtection="1">
      <protection hidden="1"/>
    </xf>
    <xf numFmtId="0" fontId="81" fillId="0" borderId="0" xfId="0" applyFont="1" applyBorder="1" applyProtection="1">
      <protection hidden="1"/>
    </xf>
    <xf numFmtId="0" fontId="17" fillId="0" borderId="0" xfId="0" applyFont="1" applyBorder="1" applyAlignment="1" applyProtection="1">
      <protection hidden="1"/>
    </xf>
    <xf numFmtId="0" fontId="24" fillId="0" borderId="0" xfId="1" applyFont="1" applyFill="1" applyBorder="1" applyProtection="1">
      <protection hidden="1"/>
    </xf>
    <xf numFmtId="0" fontId="67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Fill="1" applyProtection="1">
      <protection hidden="1"/>
    </xf>
    <xf numFmtId="0" fontId="32" fillId="0" borderId="0" xfId="0" applyFont="1" applyFill="1" applyBorder="1" applyAlignment="1" applyProtection="1">
      <alignment horizontal="left" wrapText="1"/>
      <protection hidden="1"/>
    </xf>
    <xf numFmtId="0" fontId="32" fillId="0" borderId="0" xfId="0" applyFont="1" applyFill="1" applyBorder="1" applyAlignment="1" applyProtection="1">
      <alignment horizontal="left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0" fontId="122" fillId="0" borderId="0" xfId="0" applyFont="1" applyBorder="1" applyAlignment="1" applyProtection="1">
      <alignment vertical="center"/>
      <protection hidden="1"/>
    </xf>
    <xf numFmtId="1" fontId="0" fillId="0" borderId="0" xfId="0" applyNumberFormat="1"/>
    <xf numFmtId="0" fontId="91" fillId="3" borderId="107" xfId="0" applyFont="1" applyFill="1" applyBorder="1" applyAlignment="1" applyProtection="1">
      <alignment horizontal="right" vertical="center"/>
      <protection hidden="1"/>
    </xf>
    <xf numFmtId="0" fontId="128" fillId="17" borderId="12" xfId="7" applyBorder="1" applyAlignment="1" applyProtection="1">
      <alignment horizontal="center" vertical="center" wrapText="1"/>
      <protection hidden="1"/>
    </xf>
    <xf numFmtId="0" fontId="128" fillId="17" borderId="12" xfId="7" applyBorder="1" applyProtection="1">
      <protection hidden="1"/>
    </xf>
    <xf numFmtId="0" fontId="127" fillId="0" borderId="5" xfId="0" applyFont="1" applyFill="1" applyBorder="1" applyAlignment="1" applyProtection="1">
      <alignment horizontal="center" vertical="center" wrapText="1"/>
      <protection hidden="1"/>
    </xf>
    <xf numFmtId="0" fontId="93" fillId="19" borderId="5" xfId="0" applyFont="1" applyFill="1" applyBorder="1" applyAlignment="1" applyProtection="1">
      <alignment horizontal="center" vertical="center" wrapText="1"/>
      <protection hidden="1"/>
    </xf>
    <xf numFmtId="1" fontId="110" fillId="0" borderId="5" xfId="0" applyNumberFormat="1" applyFont="1" applyFill="1" applyBorder="1" applyProtection="1">
      <protection hidden="1"/>
    </xf>
    <xf numFmtId="1" fontId="134" fillId="3" borderId="5" xfId="0" applyNumberFormat="1" applyFont="1" applyFill="1" applyBorder="1" applyProtection="1">
      <protection hidden="1"/>
    </xf>
    <xf numFmtId="1" fontId="133" fillId="3" borderId="108" xfId="0" applyNumberFormat="1" applyFont="1" applyFill="1" applyBorder="1" applyProtection="1">
      <protection hidden="1"/>
    </xf>
    <xf numFmtId="0" fontId="11" fillId="0" borderId="1" xfId="2" applyFont="1" applyBorder="1" applyAlignment="1" applyProtection="1">
      <alignment horizontal="center" vertical="center" wrapText="1"/>
      <protection hidden="1"/>
    </xf>
    <xf numFmtId="0" fontId="9" fillId="0" borderId="1" xfId="2" applyFont="1" applyBorder="1" applyAlignment="1" applyProtection="1">
      <alignment horizontal="center" vertical="center" wrapText="1"/>
      <protection hidden="1"/>
    </xf>
    <xf numFmtId="0" fontId="18" fillId="0" borderId="1" xfId="2" applyFont="1" applyBorder="1" applyAlignment="1" applyProtection="1">
      <alignment horizontal="center" vertical="center"/>
      <protection hidden="1"/>
    </xf>
    <xf numFmtId="0" fontId="71" fillId="0" borderId="1" xfId="2" applyFont="1" applyBorder="1" applyAlignment="1" applyProtection="1">
      <alignment horizontal="center" vertical="center" wrapText="1"/>
      <protection hidden="1"/>
    </xf>
    <xf numFmtId="0" fontId="12" fillId="0" borderId="1" xfId="2" applyFont="1" applyBorder="1" applyAlignment="1" applyProtection="1">
      <alignment horizontal="center" vertical="center"/>
      <protection hidden="1"/>
    </xf>
    <xf numFmtId="0" fontId="18" fillId="0" borderId="1" xfId="2" applyFont="1" applyFill="1" applyBorder="1" applyAlignment="1" applyProtection="1">
      <alignment horizontal="center" vertical="center" wrapText="1"/>
      <protection hidden="1"/>
    </xf>
    <xf numFmtId="0" fontId="4" fillId="0" borderId="1" xfId="2" applyFont="1" applyFill="1" applyBorder="1" applyAlignment="1" applyProtection="1">
      <alignment horizontal="center" vertical="center" wrapText="1"/>
      <protection hidden="1"/>
    </xf>
    <xf numFmtId="0" fontId="13" fillId="0" borderId="1" xfId="2" applyFont="1" applyFill="1" applyBorder="1" applyAlignment="1" applyProtection="1">
      <alignment horizontal="center" vertical="center"/>
      <protection hidden="1"/>
    </xf>
    <xf numFmtId="0" fontId="12" fillId="0" borderId="1" xfId="2" applyFont="1" applyBorder="1" applyAlignment="1" applyProtection="1">
      <alignment horizontal="center" vertical="center" wrapText="1"/>
      <protection hidden="1"/>
    </xf>
    <xf numFmtId="164" fontId="11" fillId="0" borderId="17" xfId="4" applyNumberFormat="1" applyFont="1" applyFill="1" applyBorder="1" applyAlignment="1" applyProtection="1">
      <protection hidden="1"/>
    </xf>
    <xf numFmtId="164" fontId="11" fillId="0" borderId="20" xfId="4" applyNumberFormat="1" applyFont="1" applyFill="1" applyBorder="1" applyAlignment="1" applyProtection="1">
      <protection hidden="1"/>
    </xf>
    <xf numFmtId="164" fontId="11" fillId="0" borderId="21" xfId="4" applyNumberFormat="1" applyFont="1" applyFill="1" applyBorder="1" applyAlignment="1" applyProtection="1">
      <protection hidden="1"/>
    </xf>
    <xf numFmtId="164" fontId="11" fillId="0" borderId="21" xfId="1" applyNumberFormat="1" applyFont="1" applyFill="1" applyBorder="1" applyAlignment="1" applyProtection="1">
      <protection hidden="1"/>
    </xf>
    <xf numFmtId="0" fontId="136" fillId="0" borderId="0" xfId="0" applyFont="1" applyBorder="1" applyAlignment="1" applyProtection="1">
      <alignment horizontal="center" vertical="center" wrapText="1"/>
      <protection hidden="1"/>
    </xf>
    <xf numFmtId="0" fontId="137" fillId="0" borderId="0" xfId="0" applyFont="1" applyBorder="1" applyAlignment="1" applyProtection="1">
      <alignment horizontal="center" vertical="center" wrapText="1"/>
      <protection hidden="1"/>
    </xf>
    <xf numFmtId="17" fontId="139" fillId="0" borderId="0" xfId="0" applyNumberFormat="1" applyFont="1" applyBorder="1" applyProtection="1">
      <protection hidden="1"/>
    </xf>
    <xf numFmtId="0" fontId="141" fillId="19" borderId="5" xfId="0" applyFont="1" applyFill="1" applyBorder="1" applyAlignment="1" applyProtection="1">
      <alignment horizontal="center" vertical="top" wrapText="1"/>
      <protection hidden="1"/>
    </xf>
    <xf numFmtId="1" fontId="142" fillId="0" borderId="5" xfId="0" applyNumberFormat="1" applyFont="1" applyFill="1" applyBorder="1" applyProtection="1">
      <protection hidden="1"/>
    </xf>
    <xf numFmtId="0" fontId="65" fillId="0" borderId="4" xfId="0" applyFont="1" applyBorder="1" applyAlignment="1" applyProtection="1">
      <alignment horizontal="center" vertical="center"/>
      <protection hidden="1"/>
    </xf>
    <xf numFmtId="1" fontId="142" fillId="0" borderId="0" xfId="0" applyNumberFormat="1" applyFont="1" applyFill="1" applyBorder="1" applyProtection="1">
      <protection hidden="1"/>
    </xf>
    <xf numFmtId="172" fontId="130" fillId="0" borderId="0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 vertical="center" wrapText="1"/>
      <protection hidden="1"/>
    </xf>
    <xf numFmtId="0" fontId="4" fillId="11" borderId="107" xfId="0" applyFont="1" applyFill="1" applyBorder="1" applyAlignment="1" applyProtection="1">
      <alignment horizontal="center" vertical="center" wrapText="1"/>
      <protection hidden="1"/>
    </xf>
    <xf numFmtId="0" fontId="123" fillId="0" borderId="0" xfId="0" applyFont="1" applyBorder="1" applyProtection="1">
      <protection hidden="1"/>
    </xf>
    <xf numFmtId="0" fontId="106" fillId="0" borderId="0" xfId="0" applyFont="1" applyBorder="1" applyAlignment="1" applyProtection="1">
      <alignment horizontal="center" vertical="center"/>
      <protection hidden="1"/>
    </xf>
    <xf numFmtId="0" fontId="132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103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143" fillId="0" borderId="0" xfId="0" applyFont="1" applyFill="1" applyBorder="1" applyAlignment="1" applyProtection="1">
      <alignment horizontal="center" vertical="center"/>
      <protection hidden="1"/>
    </xf>
    <xf numFmtId="0" fontId="143" fillId="0" borderId="0" xfId="0" applyFont="1" applyBorder="1" applyAlignment="1" applyProtection="1">
      <alignment horizontal="center" vertical="center"/>
      <protection hidden="1"/>
    </xf>
    <xf numFmtId="9" fontId="34" fillId="0" borderId="0" xfId="0" applyNumberFormat="1" applyFont="1" applyBorder="1" applyAlignment="1" applyProtection="1">
      <alignment horizontal="center" vertical="center"/>
      <protection hidden="1"/>
    </xf>
    <xf numFmtId="10" fontId="34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44" fillId="0" borderId="0" xfId="0" applyFont="1" applyAlignment="1" applyProtection="1">
      <alignment horizontal="center" vertical="center"/>
      <protection hidden="1"/>
    </xf>
    <xf numFmtId="0" fontId="14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109" fillId="0" borderId="0" xfId="0" applyFont="1" applyBorder="1" applyAlignment="1" applyProtection="1">
      <alignment horizontal="center" vertical="center"/>
      <protection hidden="1"/>
    </xf>
    <xf numFmtId="0" fontId="11" fillId="0" borderId="19" xfId="1" applyFont="1" applyFill="1" applyBorder="1" applyAlignment="1" applyProtection="1">
      <alignment horizontal="left" vertical="center"/>
      <protection hidden="1"/>
    </xf>
    <xf numFmtId="0" fontId="26" fillId="0" borderId="113" xfId="1" applyFont="1" applyFill="1" applyBorder="1" applyAlignment="1" applyProtection="1">
      <alignment horizontal="center"/>
      <protection hidden="1"/>
    </xf>
    <xf numFmtId="164" fontId="11" fillId="0" borderId="95" xfId="1" applyNumberFormat="1" applyFont="1" applyFill="1" applyBorder="1" applyAlignment="1" applyProtection="1">
      <protection hidden="1"/>
    </xf>
    <xf numFmtId="0" fontId="26" fillId="0" borderId="114" xfId="1" applyFont="1" applyFill="1" applyBorder="1" applyAlignment="1" applyProtection="1">
      <alignment horizontal="center"/>
      <protection hidden="1"/>
    </xf>
    <xf numFmtId="164" fontId="11" fillId="0" borderId="84" xfId="1" applyNumberFormat="1" applyFont="1" applyFill="1" applyBorder="1" applyAlignment="1" applyProtection="1">
      <protection hidden="1"/>
    </xf>
    <xf numFmtId="164" fontId="11" fillId="0" borderId="84" xfId="4" applyNumberFormat="1" applyFont="1" applyFill="1" applyBorder="1" applyAlignment="1" applyProtection="1">
      <protection hidden="1"/>
    </xf>
    <xf numFmtId="0" fontId="26" fillId="0" borderId="113" xfId="1" applyNumberFormat="1" applyFont="1" applyFill="1" applyBorder="1" applyAlignment="1" applyProtection="1">
      <alignment horizontal="center"/>
      <protection hidden="1"/>
    </xf>
    <xf numFmtId="3" fontId="18" fillId="0" borderId="43" xfId="1" applyNumberFormat="1" applyFont="1" applyFill="1" applyBorder="1" applyAlignment="1" applyProtection="1">
      <alignment horizontal="right"/>
      <protection hidden="1"/>
    </xf>
    <xf numFmtId="0" fontId="52" fillId="0" borderId="0" xfId="1" applyFont="1" applyBorder="1" applyAlignment="1" applyProtection="1">
      <alignment vertical="center"/>
      <protection hidden="1"/>
    </xf>
    <xf numFmtId="41" fontId="46" fillId="0" borderId="0" xfId="1" applyNumberFormat="1" applyFont="1" applyBorder="1" applyAlignment="1" applyProtection="1">
      <alignment horizontal="center"/>
      <protection hidden="1"/>
    </xf>
    <xf numFmtId="3" fontId="52" fillId="0" borderId="0" xfId="1" applyNumberFormat="1" applyFont="1" applyFill="1" applyBorder="1" applyAlignment="1" applyProtection="1">
      <alignment horizontal="left" vertical="center"/>
      <protection hidden="1"/>
    </xf>
    <xf numFmtId="0" fontId="52" fillId="0" borderId="0" xfId="1" applyFont="1" applyFill="1" applyBorder="1" applyAlignment="1" applyProtection="1">
      <alignment horizontal="left" vertical="center"/>
      <protection hidden="1"/>
    </xf>
    <xf numFmtId="0" fontId="52" fillId="0" borderId="0" xfId="1" applyFont="1" applyBorder="1" applyAlignment="1" applyProtection="1">
      <alignment horizontal="center" vertical="center"/>
      <protection hidden="1"/>
    </xf>
    <xf numFmtId="41" fontId="11" fillId="0" borderId="0" xfId="1" applyNumberFormat="1" applyFont="1" applyBorder="1" applyAlignment="1" applyProtection="1">
      <alignment horizontal="left" vertical="center"/>
      <protection hidden="1"/>
    </xf>
    <xf numFmtId="0" fontId="12" fillId="0" borderId="0" xfId="1" applyFont="1" applyBorder="1" applyAlignment="1" applyProtection="1">
      <alignment horizontal="left"/>
      <protection hidden="1"/>
    </xf>
    <xf numFmtId="0" fontId="43" fillId="0" borderId="115" xfId="1" applyFont="1" applyBorder="1" applyAlignment="1" applyProtection="1">
      <alignment horizontal="center" vertical="center"/>
      <protection hidden="1"/>
    </xf>
    <xf numFmtId="0" fontId="52" fillId="0" borderId="40" xfId="1" applyFont="1" applyBorder="1" applyAlignment="1" applyProtection="1">
      <alignment vertical="center"/>
      <protection hidden="1"/>
    </xf>
    <xf numFmtId="0" fontId="52" fillId="0" borderId="40" xfId="1" applyFont="1" applyBorder="1" applyAlignment="1" applyProtection="1">
      <alignment horizontal="center" vertical="center"/>
      <protection hidden="1"/>
    </xf>
    <xf numFmtId="0" fontId="74" fillId="0" borderId="117" xfId="1" applyFont="1" applyBorder="1" applyAlignment="1" applyProtection="1">
      <alignment vertical="center"/>
      <protection hidden="1"/>
    </xf>
    <xf numFmtId="164" fontId="47" fillId="0" borderId="118" xfId="1" applyNumberFormat="1" applyFont="1" applyBorder="1" applyAlignment="1" applyProtection="1">
      <alignment vertical="center"/>
      <protection hidden="1"/>
    </xf>
    <xf numFmtId="0" fontId="43" fillId="0" borderId="82" xfId="1" applyFont="1" applyBorder="1" applyAlignment="1" applyProtection="1">
      <alignment horizontal="center" vertical="center"/>
      <protection hidden="1"/>
    </xf>
    <xf numFmtId="164" fontId="47" fillId="0" borderId="76" xfId="1" applyNumberFormat="1" applyFont="1" applyBorder="1" applyAlignment="1" applyProtection="1">
      <alignment vertical="center"/>
      <protection hidden="1"/>
    </xf>
    <xf numFmtId="0" fontId="16" fillId="0" borderId="42" xfId="1" applyBorder="1" applyAlignment="1" applyProtection="1">
      <alignment horizontal="center"/>
      <protection hidden="1"/>
    </xf>
    <xf numFmtId="0" fontId="43" fillId="0" borderId="85" xfId="1" applyFont="1" applyBorder="1" applyAlignment="1" applyProtection="1">
      <alignment horizontal="center" vertical="center"/>
      <protection hidden="1"/>
    </xf>
    <xf numFmtId="164" fontId="47" fillId="0" borderId="76" xfId="1" applyNumberFormat="1" applyFont="1" applyBorder="1" applyAlignment="1" applyProtection="1">
      <alignment horizontal="right" vertical="center"/>
      <protection hidden="1"/>
    </xf>
    <xf numFmtId="0" fontId="15" fillId="0" borderId="100" xfId="1" applyFont="1" applyBorder="1" applyAlignment="1" applyProtection="1">
      <alignment horizontal="center" vertical="center"/>
      <protection hidden="1"/>
    </xf>
    <xf numFmtId="1" fontId="39" fillId="0" borderId="76" xfId="1" applyNumberFormat="1" applyFont="1" applyBorder="1" applyAlignment="1" applyProtection="1">
      <alignment horizontal="center" vertical="center"/>
      <protection hidden="1"/>
    </xf>
    <xf numFmtId="0" fontId="15" fillId="0" borderId="77" xfId="1" applyFont="1" applyBorder="1" applyAlignment="1" applyProtection="1">
      <alignment horizontal="center" vertical="center"/>
      <protection hidden="1"/>
    </xf>
    <xf numFmtId="0" fontId="15" fillId="0" borderId="121" xfId="1" applyFont="1" applyBorder="1" applyAlignment="1" applyProtection="1">
      <alignment horizontal="center" vertical="center"/>
      <protection hidden="1"/>
    </xf>
    <xf numFmtId="1" fontId="39" fillId="0" borderId="122" xfId="1" applyNumberFormat="1" applyFont="1" applyBorder="1" applyAlignment="1" applyProtection="1">
      <alignment horizontal="center" vertical="center"/>
      <protection hidden="1"/>
    </xf>
    <xf numFmtId="0" fontId="53" fillId="0" borderId="77" xfId="1" applyFont="1" applyBorder="1" applyAlignment="1" applyProtection="1">
      <alignment vertical="center"/>
      <protection hidden="1"/>
    </xf>
    <xf numFmtId="0" fontId="53" fillId="0" borderId="78" xfId="1" applyFont="1" applyBorder="1" applyAlignment="1" applyProtection="1">
      <alignment horizontal="center" vertical="center"/>
      <protection hidden="1"/>
    </xf>
    <xf numFmtId="0" fontId="53" fillId="0" borderId="42" xfId="1" applyFont="1" applyBorder="1" applyAlignment="1" applyProtection="1">
      <alignment vertical="center"/>
      <protection hidden="1"/>
    </xf>
    <xf numFmtId="0" fontId="53" fillId="0" borderId="43" xfId="1" applyFont="1" applyBorder="1" applyAlignment="1" applyProtection="1">
      <alignment horizontal="center" vertical="center"/>
      <protection hidden="1"/>
    </xf>
    <xf numFmtId="0" fontId="53" fillId="0" borderId="42" xfId="1" applyFont="1" applyBorder="1" applyProtection="1">
      <protection hidden="1"/>
    </xf>
    <xf numFmtId="0" fontId="53" fillId="0" borderId="43" xfId="1" applyFont="1" applyBorder="1" applyProtection="1">
      <protection hidden="1"/>
    </xf>
    <xf numFmtId="0" fontId="12" fillId="0" borderId="42" xfId="1" applyFont="1" applyBorder="1" applyAlignment="1" applyProtection="1">
      <alignment horizontal="left"/>
      <protection hidden="1"/>
    </xf>
    <xf numFmtId="0" fontId="60" fillId="0" borderId="42" xfId="1" applyFont="1" applyBorder="1" applyProtection="1">
      <protection hidden="1"/>
    </xf>
    <xf numFmtId="0" fontId="60" fillId="0" borderId="43" xfId="1" applyFont="1" applyBorder="1" applyAlignment="1" applyProtection="1">
      <alignment vertical="center"/>
      <protection hidden="1"/>
    </xf>
    <xf numFmtId="0" fontId="11" fillId="0" borderId="42" xfId="1" applyFont="1" applyBorder="1" applyAlignment="1" applyProtection="1">
      <alignment vertical="center"/>
      <protection hidden="1"/>
    </xf>
    <xf numFmtId="0" fontId="31" fillId="0" borderId="42" xfId="1" applyFont="1" applyBorder="1" applyProtection="1">
      <protection hidden="1"/>
    </xf>
    <xf numFmtId="41" fontId="11" fillId="0" borderId="43" xfId="1" applyNumberFormat="1" applyFont="1" applyBorder="1" applyAlignment="1" applyProtection="1">
      <alignment horizontal="left" vertical="center"/>
      <protection hidden="1"/>
    </xf>
    <xf numFmtId="0" fontId="40" fillId="0" borderId="110" xfId="1" applyFont="1" applyBorder="1" applyAlignment="1" applyProtection="1">
      <alignment horizontal="right" vertical="center"/>
      <protection hidden="1"/>
    </xf>
    <xf numFmtId="0" fontId="62" fillId="0" borderId="44" xfId="1" applyFont="1" applyBorder="1" applyAlignment="1" applyProtection="1">
      <alignment horizontal="right" vertical="center"/>
      <protection hidden="1"/>
    </xf>
    <xf numFmtId="0" fontId="37" fillId="0" borderId="123" xfId="1" applyFont="1" applyBorder="1" applyAlignment="1" applyProtection="1">
      <alignment vertical="center" wrapText="1"/>
      <protection hidden="1"/>
    </xf>
    <xf numFmtId="0" fontId="37" fillId="0" borderId="124" xfId="1" applyFont="1" applyBorder="1" applyAlignment="1" applyProtection="1">
      <alignment vertical="center" wrapText="1"/>
      <protection hidden="1"/>
    </xf>
    <xf numFmtId="1" fontId="42" fillId="0" borderId="43" xfId="1" applyNumberFormat="1" applyFont="1" applyBorder="1" applyAlignment="1" applyProtection="1">
      <alignment horizontal="left" vertical="center" wrapText="1"/>
      <protection hidden="1"/>
    </xf>
    <xf numFmtId="0" fontId="44" fillId="0" borderId="111" xfId="1" applyFont="1" applyBorder="1" applyAlignment="1" applyProtection="1">
      <alignment vertical="center"/>
      <protection hidden="1"/>
    </xf>
    <xf numFmtId="0" fontId="51" fillId="0" borderId="129" xfId="1" applyFont="1" applyBorder="1" applyAlignment="1" applyProtection="1">
      <alignment horizontal="center" vertical="center"/>
      <protection hidden="1"/>
    </xf>
    <xf numFmtId="164" fontId="47" fillId="0" borderId="130" xfId="1" applyNumberFormat="1" applyFont="1" applyBorder="1" applyAlignment="1" applyProtection="1">
      <alignment vertical="center"/>
      <protection hidden="1"/>
    </xf>
    <xf numFmtId="0" fontId="51" fillId="0" borderId="131" xfId="1" applyFont="1" applyBorder="1" applyAlignment="1" applyProtection="1">
      <alignment horizontal="center" vertical="center"/>
      <protection hidden="1"/>
    </xf>
    <xf numFmtId="164" fontId="47" fillId="0" borderId="43" xfId="1" applyNumberFormat="1" applyFont="1" applyBorder="1" applyAlignment="1" applyProtection="1">
      <alignment vertical="center"/>
      <protection hidden="1"/>
    </xf>
    <xf numFmtId="164" fontId="47" fillId="0" borderId="103" xfId="1" applyNumberFormat="1" applyFont="1" applyBorder="1" applyAlignment="1" applyProtection="1">
      <alignment vertical="center"/>
      <protection hidden="1"/>
    </xf>
    <xf numFmtId="164" fontId="47" fillId="0" borderId="119" xfId="1" applyNumberFormat="1" applyFont="1" applyBorder="1" applyAlignment="1" applyProtection="1">
      <alignment vertical="center"/>
      <protection hidden="1"/>
    </xf>
    <xf numFmtId="0" fontId="51" fillId="0" borderId="132" xfId="1" applyFont="1" applyBorder="1" applyAlignment="1" applyProtection="1">
      <alignment horizontal="center" vertical="center"/>
      <protection hidden="1"/>
    </xf>
    <xf numFmtId="0" fontId="59" fillId="0" borderId="45" xfId="1" applyFont="1" applyBorder="1" applyAlignment="1" applyProtection="1">
      <alignment horizontal="right" vertical="center"/>
      <protection hidden="1"/>
    </xf>
    <xf numFmtId="1" fontId="58" fillId="0" borderId="91" xfId="1" applyNumberFormat="1" applyFont="1" applyBorder="1" applyAlignment="1" applyProtection="1">
      <alignment horizontal="right" vertical="center"/>
      <protection hidden="1"/>
    </xf>
    <xf numFmtId="164" fontId="47" fillId="0" borderId="133" xfId="1" applyNumberFormat="1" applyFont="1" applyBorder="1" applyAlignment="1" applyProtection="1">
      <alignment vertical="center"/>
      <protection hidden="1"/>
    </xf>
    <xf numFmtId="0" fontId="12" fillId="0" borderId="39" xfId="2" applyNumberFormat="1" applyFont="1" applyBorder="1" applyAlignment="1" applyProtection="1">
      <alignment vertical="center"/>
      <protection hidden="1"/>
    </xf>
    <xf numFmtId="0" fontId="12" fillId="0" borderId="134" xfId="2" applyFont="1" applyBorder="1" applyAlignment="1" applyProtection="1">
      <alignment vertical="center"/>
      <protection hidden="1"/>
    </xf>
    <xf numFmtId="0" fontId="18" fillId="0" borderId="135" xfId="2" applyFont="1" applyBorder="1" applyAlignment="1" applyProtection="1">
      <alignment horizontal="center" vertical="center"/>
      <protection hidden="1"/>
    </xf>
    <xf numFmtId="0" fontId="12" fillId="0" borderId="130" xfId="2" applyFont="1" applyBorder="1" applyAlignment="1" applyProtection="1">
      <alignment horizontal="center" vertical="center" wrapText="1"/>
      <protection hidden="1"/>
    </xf>
    <xf numFmtId="165" fontId="71" fillId="0" borderId="76" xfId="3" applyNumberFormat="1" applyFont="1" applyBorder="1" applyProtection="1">
      <protection hidden="1"/>
    </xf>
    <xf numFmtId="1" fontId="18" fillId="0" borderId="75" xfId="2" applyNumberFormat="1" applyFont="1" applyBorder="1" applyAlignment="1" applyProtection="1">
      <alignment vertical="center"/>
      <protection hidden="1"/>
    </xf>
    <xf numFmtId="1" fontId="12" fillId="0" borderId="75" xfId="2" applyNumberFormat="1" applyFont="1" applyBorder="1" applyAlignment="1" applyProtection="1">
      <alignment horizontal="left" vertical="center"/>
      <protection hidden="1"/>
    </xf>
    <xf numFmtId="0" fontId="12" fillId="0" borderId="75" xfId="2" applyFont="1" applyBorder="1" applyAlignment="1" applyProtection="1">
      <alignment horizontal="right" vertical="center" wrapText="1"/>
      <protection hidden="1"/>
    </xf>
    <xf numFmtId="0" fontId="12" fillId="0" borderId="44" xfId="2" applyFont="1" applyBorder="1" applyAlignment="1" applyProtection="1">
      <alignment horizontal="right" vertical="center" wrapText="1"/>
      <protection hidden="1"/>
    </xf>
    <xf numFmtId="0" fontId="73" fillId="0" borderId="45" xfId="2" applyFont="1" applyBorder="1" applyAlignment="1" applyProtection="1">
      <protection hidden="1"/>
    </xf>
    <xf numFmtId="0" fontId="73" fillId="0" borderId="46" xfId="2" applyFont="1" applyBorder="1" applyAlignment="1" applyProtection="1">
      <protection hidden="1"/>
    </xf>
    <xf numFmtId="2" fontId="36" fillId="0" borderId="107" xfId="0" applyNumberFormat="1" applyFont="1" applyFill="1" applyBorder="1" applyAlignment="1" applyProtection="1">
      <alignment horizontal="right" vertical="center"/>
      <protection hidden="1"/>
    </xf>
    <xf numFmtId="2" fontId="34" fillId="0" borderId="12" xfId="0" applyNumberFormat="1" applyFont="1" applyFill="1" applyBorder="1" applyAlignment="1" applyProtection="1">
      <alignment horizontal="right" vertical="center"/>
      <protection hidden="1"/>
    </xf>
    <xf numFmtId="1" fontId="12" fillId="0" borderId="16" xfId="1" applyNumberFormat="1" applyFont="1" applyBorder="1" applyAlignment="1" applyProtection="1">
      <alignment horizontal="center"/>
      <protection hidden="1"/>
    </xf>
    <xf numFmtId="0" fontId="9" fillId="0" borderId="139" xfId="8" applyFont="1" applyFill="1" applyBorder="1" applyAlignment="1">
      <alignment horizontal="left"/>
    </xf>
    <xf numFmtId="0" fontId="9" fillId="0" borderId="140" xfId="8" applyFont="1" applyFill="1" applyBorder="1" applyAlignment="1">
      <alignment horizontal="left"/>
    </xf>
    <xf numFmtId="0" fontId="9" fillId="0" borderId="141" xfId="8" applyFont="1" applyFill="1" applyBorder="1" applyAlignment="1">
      <alignment horizontal="left"/>
    </xf>
    <xf numFmtId="0" fontId="9" fillId="0" borderId="72" xfId="8" applyFont="1" applyFill="1" applyBorder="1" applyAlignment="1" applyProtection="1">
      <alignment vertical="center"/>
      <protection hidden="1"/>
    </xf>
    <xf numFmtId="0" fontId="146" fillId="0" borderId="0" xfId="8" applyAlignment="1"/>
    <xf numFmtId="0" fontId="147" fillId="0" borderId="0" xfId="8" applyFont="1" applyBorder="1" applyAlignment="1" applyProtection="1">
      <alignment horizontal="center" vertical="center"/>
      <protection hidden="1"/>
    </xf>
    <xf numFmtId="0" fontId="147" fillId="0" borderId="0" xfId="8" applyFont="1" applyAlignment="1">
      <alignment vertical="center"/>
    </xf>
    <xf numFmtId="0" fontId="9" fillId="0" borderId="142" xfId="8" applyFont="1" applyFill="1" applyBorder="1" applyAlignment="1">
      <alignment horizontal="left"/>
    </xf>
    <xf numFmtId="0" fontId="9" fillId="0" borderId="143" xfId="8" applyFont="1" applyFill="1" applyBorder="1" applyAlignment="1">
      <alignment horizontal="left"/>
    </xf>
    <xf numFmtId="0" fontId="9" fillId="0" borderId="144" xfId="8" applyFont="1" applyFill="1" applyBorder="1" applyAlignment="1">
      <alignment horizontal="left"/>
    </xf>
    <xf numFmtId="1" fontId="110" fillId="21" borderId="5" xfId="8" applyNumberFormat="1" applyFont="1" applyFill="1" applyBorder="1" applyAlignment="1" applyProtection="1">
      <alignment horizontal="center" vertical="center"/>
    </xf>
    <xf numFmtId="0" fontId="148" fillId="0" borderId="0" xfId="8" applyFont="1" applyFill="1" applyBorder="1" applyAlignment="1" applyProtection="1">
      <alignment horizontal="right"/>
      <protection hidden="1"/>
    </xf>
    <xf numFmtId="0" fontId="146" fillId="0" borderId="0" xfId="8" applyBorder="1" applyAlignment="1"/>
    <xf numFmtId="0" fontId="149" fillId="22" borderId="5" xfId="8" applyFont="1" applyFill="1" applyBorder="1" applyAlignment="1" applyProtection="1">
      <alignment horizontal="center" vertical="center"/>
      <protection hidden="1"/>
    </xf>
    <xf numFmtId="0" fontId="150" fillId="0" borderId="5" xfId="8" applyFont="1" applyFill="1" applyBorder="1" applyAlignment="1"/>
    <xf numFmtId="0" fontId="151" fillId="0" borderId="5" xfId="8" applyFont="1" applyFill="1" applyBorder="1" applyAlignment="1" applyProtection="1">
      <alignment horizontal="right"/>
      <protection hidden="1"/>
    </xf>
    <xf numFmtId="0" fontId="151" fillId="0" borderId="5" xfId="8" applyFont="1" applyFill="1" applyBorder="1" applyAlignment="1">
      <alignment horizontal="right"/>
    </xf>
    <xf numFmtId="0" fontId="148" fillId="0" borderId="0" xfId="8" applyFont="1" applyFill="1" applyBorder="1" applyAlignment="1" applyProtection="1">
      <alignment vertical="center"/>
      <protection hidden="1"/>
    </xf>
    <xf numFmtId="0" fontId="147" fillId="0" borderId="0" xfId="8" applyFont="1" applyFill="1" applyBorder="1" applyAlignment="1">
      <alignment vertical="center"/>
    </xf>
    <xf numFmtId="0" fontId="153" fillId="0" borderId="5" xfId="8" applyFont="1" applyFill="1" applyBorder="1" applyAlignment="1" applyProtection="1">
      <alignment horizontal="right" vertical="center"/>
      <protection hidden="1"/>
    </xf>
    <xf numFmtId="0" fontId="154" fillId="0" borderId="5" xfId="8" applyFont="1" applyFill="1" applyBorder="1" applyAlignment="1">
      <alignment horizontal="right" vertical="center"/>
    </xf>
    <xf numFmtId="0" fontId="146" fillId="0" borderId="0" xfId="8" applyFill="1" applyBorder="1" applyAlignment="1"/>
    <xf numFmtId="0" fontId="155" fillId="0" borderId="0" xfId="8" applyFont="1" applyFill="1" applyBorder="1" applyAlignment="1" applyProtection="1">
      <alignment vertical="center"/>
      <protection hidden="1"/>
    </xf>
    <xf numFmtId="0" fontId="146" fillId="0" borderId="0" xfId="8" applyBorder="1" applyAlignment="1">
      <alignment vertical="center"/>
    </xf>
    <xf numFmtId="0" fontId="9" fillId="0" borderId="145" xfId="8" applyFont="1" applyFill="1" applyBorder="1" applyAlignment="1">
      <alignment horizontal="left"/>
    </xf>
    <xf numFmtId="0" fontId="9" fillId="0" borderId="146" xfId="8" applyFont="1" applyFill="1" applyBorder="1" applyAlignment="1">
      <alignment horizontal="left"/>
    </xf>
    <xf numFmtId="0" fontId="146" fillId="0" borderId="0" xfId="8"/>
    <xf numFmtId="0" fontId="135" fillId="0" borderId="0" xfId="0" applyFont="1" applyAlignment="1" applyProtection="1">
      <alignment horizontal="center" vertical="center" wrapText="1"/>
      <protection hidden="1"/>
    </xf>
    <xf numFmtId="0" fontId="19" fillId="0" borderId="21" xfId="1" applyFont="1" applyFill="1" applyBorder="1" applyAlignment="1" applyProtection="1">
      <alignment horizontal="right" vertical="center"/>
      <protection hidden="1"/>
    </xf>
    <xf numFmtId="164" fontId="11" fillId="0" borderId="21" xfId="1" applyNumberFormat="1" applyFont="1" applyFill="1" applyBorder="1" applyAlignment="1" applyProtection="1">
      <alignment vertical="center"/>
      <protection hidden="1"/>
    </xf>
    <xf numFmtId="0" fontId="80" fillId="0" borderId="21" xfId="1" applyFont="1" applyFill="1" applyBorder="1" applyAlignment="1" applyProtection="1">
      <alignment vertical="center"/>
      <protection hidden="1"/>
    </xf>
    <xf numFmtId="0" fontId="70" fillId="23" borderId="5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5" fillId="0" borderId="5" xfId="0" applyFont="1" applyFill="1" applyBorder="1" applyAlignment="1" applyProtection="1">
      <alignment horizontal="right"/>
      <protection locked="0"/>
    </xf>
    <xf numFmtId="0" fontId="9" fillId="3" borderId="5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63" fillId="0" borderId="0" xfId="0" applyFont="1" applyAlignment="1" applyProtection="1">
      <alignment vertical="center"/>
      <protection hidden="1"/>
    </xf>
    <xf numFmtId="1" fontId="64" fillId="0" borderId="5" xfId="0" applyNumberFormat="1" applyFont="1" applyFill="1" applyBorder="1" applyAlignment="1" applyProtection="1">
      <alignment horizontal="right"/>
      <protection locked="0" hidden="1"/>
    </xf>
    <xf numFmtId="17" fontId="125" fillId="4" borderId="5" xfId="0" applyNumberFormat="1" applyFont="1" applyFill="1" applyBorder="1" applyProtection="1">
      <protection hidden="1"/>
    </xf>
    <xf numFmtId="0" fontId="97" fillId="3" borderId="5" xfId="0" applyFont="1" applyFill="1" applyBorder="1" applyProtection="1">
      <protection hidden="1"/>
    </xf>
    <xf numFmtId="167" fontId="11" fillId="0" borderId="75" xfId="2" applyNumberFormat="1" applyFont="1" applyBorder="1" applyAlignment="1" applyProtection="1">
      <alignment horizontal="right"/>
      <protection hidden="1"/>
    </xf>
    <xf numFmtId="0" fontId="13" fillId="3" borderId="5" xfId="0" applyFont="1" applyFill="1" applyBorder="1" applyAlignment="1" applyProtection="1">
      <alignment horizontal="left" vertical="center"/>
    </xf>
    <xf numFmtId="0" fontId="167" fillId="19" borderId="5" xfId="0" applyFont="1" applyFill="1" applyBorder="1" applyAlignment="1" applyProtection="1">
      <alignment horizontal="left" vertical="center"/>
    </xf>
    <xf numFmtId="164" fontId="13" fillId="0" borderId="5" xfId="0" applyNumberFormat="1" applyFont="1" applyBorder="1" applyAlignment="1" applyProtection="1">
      <alignment horizontal="right"/>
      <protection locked="0"/>
    </xf>
    <xf numFmtId="164" fontId="13" fillId="0" borderId="5" xfId="0" applyNumberFormat="1" applyFont="1" applyFill="1" applyBorder="1" applyAlignment="1" applyProtection="1">
      <alignment horizontal="right"/>
      <protection locked="0"/>
    </xf>
    <xf numFmtId="164" fontId="13" fillId="3" borderId="5" xfId="0" applyNumberFormat="1" applyFont="1" applyFill="1" applyBorder="1" applyAlignment="1" applyProtection="1">
      <alignment horizontal="right" vertical="center"/>
      <protection hidden="1"/>
    </xf>
    <xf numFmtId="164" fontId="166" fillId="19" borderId="5" xfId="0" applyNumberFormat="1" applyFont="1" applyFill="1" applyBorder="1" applyAlignment="1" applyProtection="1">
      <alignment horizontal="right" vertical="center"/>
      <protection hidden="1"/>
    </xf>
    <xf numFmtId="0" fontId="169" fillId="4" borderId="5" xfId="0" applyFont="1" applyFill="1" applyBorder="1" applyAlignment="1" applyProtection="1">
      <alignment horizontal="center" vertical="center" wrapText="1"/>
      <protection hidden="1"/>
    </xf>
    <xf numFmtId="17" fontId="4" fillId="4" borderId="48" xfId="0" applyNumberFormat="1" applyFont="1" applyFill="1" applyBorder="1" applyAlignment="1" applyProtection="1">
      <alignment horizontal="right"/>
      <protection hidden="1"/>
    </xf>
    <xf numFmtId="17" fontId="97" fillId="4" borderId="106" xfId="0" applyNumberFormat="1" applyFont="1" applyFill="1" applyBorder="1" applyAlignment="1" applyProtection="1">
      <alignment horizontal="right"/>
      <protection hidden="1"/>
    </xf>
    <xf numFmtId="17" fontId="138" fillId="0" borderId="0" xfId="0" applyNumberFormat="1" applyFont="1" applyBorder="1" applyAlignment="1" applyProtection="1">
      <alignment horizontal="right"/>
      <protection hidden="1"/>
    </xf>
    <xf numFmtId="17" fontId="139" fillId="0" borderId="0" xfId="0" applyNumberFormat="1" applyFont="1" applyBorder="1" applyAlignment="1" applyProtection="1">
      <alignment horizontal="right"/>
      <protection hidden="1"/>
    </xf>
    <xf numFmtId="0" fontId="140" fillId="0" borderId="0" xfId="0" applyFont="1" applyBorder="1" applyAlignment="1" applyProtection="1">
      <alignment horizontal="right"/>
      <protection hidden="1"/>
    </xf>
    <xf numFmtId="17" fontId="169" fillId="4" borderId="5" xfId="0" applyNumberFormat="1" applyFont="1" applyFill="1" applyBorder="1" applyAlignment="1" applyProtection="1">
      <alignment horizontal="right"/>
      <protection hidden="1"/>
    </xf>
    <xf numFmtId="1" fontId="9" fillId="0" borderId="5" xfId="2" applyNumberFormat="1" applyFont="1" applyBorder="1" applyProtection="1">
      <protection hidden="1"/>
    </xf>
    <xf numFmtId="1" fontId="18" fillId="0" borderId="5" xfId="2" applyNumberFormat="1" applyFont="1" applyBorder="1" applyAlignment="1" applyProtection="1">
      <alignment vertical="center"/>
      <protection hidden="1"/>
    </xf>
    <xf numFmtId="1" fontId="9" fillId="0" borderId="5" xfId="2" applyNumberFormat="1" applyFont="1" applyFill="1" applyBorder="1" applyProtection="1">
      <protection hidden="1"/>
    </xf>
    <xf numFmtId="1" fontId="9" fillId="0" borderId="5" xfId="2" applyNumberFormat="1" applyFont="1" applyBorder="1" applyAlignment="1" applyProtection="1">
      <protection hidden="1"/>
    </xf>
    <xf numFmtId="1" fontId="9" fillId="0" borderId="5" xfId="2" applyNumberFormat="1" applyFont="1" applyBorder="1" applyAlignment="1" applyProtection="1">
      <alignment horizontal="right"/>
      <protection hidden="1"/>
    </xf>
    <xf numFmtId="1" fontId="9" fillId="0" borderId="5" xfId="2" applyNumberFormat="1" applyFont="1" applyBorder="1" applyAlignment="1" applyProtection="1">
      <alignment horizontal="right" vertical="center"/>
      <protection hidden="1"/>
    </xf>
    <xf numFmtId="1" fontId="170" fillId="3" borderId="5" xfId="0" applyNumberFormat="1" applyFont="1" applyFill="1" applyBorder="1" applyAlignment="1" applyProtection="1">
      <alignment horizontal="center" wrapText="1"/>
      <protection hidden="1"/>
    </xf>
    <xf numFmtId="17" fontId="173" fillId="5" borderId="5" xfId="0" applyNumberFormat="1" applyFont="1" applyFill="1" applyBorder="1" applyAlignment="1" applyProtection="1">
      <alignment horizontal="left" vertical="top"/>
      <protection hidden="1"/>
    </xf>
    <xf numFmtId="17" fontId="171" fillId="3" borderId="5" xfId="0" applyNumberFormat="1" applyFont="1" applyFill="1" applyBorder="1" applyAlignment="1" applyProtection="1">
      <alignment horizontal="left" vertical="top"/>
      <protection hidden="1"/>
    </xf>
    <xf numFmtId="0" fontId="173" fillId="20" borderId="5" xfId="0" applyFont="1" applyFill="1" applyBorder="1" applyAlignment="1">
      <alignment horizontal="left" vertical="top"/>
    </xf>
    <xf numFmtId="17" fontId="173" fillId="2" borderId="5" xfId="0" applyNumberFormat="1" applyFont="1" applyFill="1" applyBorder="1" applyAlignment="1" applyProtection="1">
      <alignment horizontal="left" vertical="top"/>
      <protection hidden="1"/>
    </xf>
    <xf numFmtId="17" fontId="173" fillId="3" borderId="5" xfId="0" applyNumberFormat="1" applyFont="1" applyFill="1" applyBorder="1" applyAlignment="1" applyProtection="1">
      <alignment horizontal="left" vertical="top"/>
      <protection hidden="1"/>
    </xf>
    <xf numFmtId="0" fontId="173" fillId="0" borderId="0" xfId="0" applyFont="1" applyAlignment="1">
      <alignment horizontal="left" vertical="top"/>
    </xf>
    <xf numFmtId="0" fontId="173" fillId="0" borderId="0" xfId="0" applyFont="1" applyAlignment="1">
      <alignment vertical="top"/>
    </xf>
    <xf numFmtId="17" fontId="173" fillId="5" borderId="5" xfId="0" applyNumberFormat="1" applyFont="1" applyFill="1" applyBorder="1" applyAlignment="1" applyProtection="1">
      <alignment horizontal="right" vertical="top"/>
      <protection hidden="1"/>
    </xf>
    <xf numFmtId="17" fontId="173" fillId="20" borderId="5" xfId="0" applyNumberFormat="1" applyFont="1" applyFill="1" applyBorder="1" applyAlignment="1" applyProtection="1">
      <alignment horizontal="left" vertical="top"/>
      <protection hidden="1"/>
    </xf>
    <xf numFmtId="0" fontId="173" fillId="3" borderId="5" xfId="0" applyFont="1" applyFill="1" applyBorder="1" applyAlignment="1" applyProtection="1">
      <alignment horizontal="left" vertical="top"/>
      <protection hidden="1"/>
    </xf>
    <xf numFmtId="0" fontId="173" fillId="2" borderId="5" xfId="0" applyFont="1" applyFill="1" applyBorder="1" applyAlignment="1" applyProtection="1">
      <alignment horizontal="left" vertical="top"/>
      <protection hidden="1"/>
    </xf>
    <xf numFmtId="0" fontId="12" fillId="2" borderId="5" xfId="0" applyFont="1" applyFill="1" applyBorder="1" applyAlignment="1" applyProtection="1">
      <alignment horizontal="left" vertical="center"/>
    </xf>
    <xf numFmtId="1" fontId="105" fillId="3" borderId="5" xfId="0" applyNumberFormat="1" applyFont="1" applyFill="1" applyBorder="1" applyProtection="1">
      <protection hidden="1"/>
    </xf>
    <xf numFmtId="0" fontId="12" fillId="3" borderId="5" xfId="0" applyFont="1" applyFill="1" applyBorder="1" applyAlignment="1" applyProtection="1">
      <alignment horizontal="left" vertical="center"/>
    </xf>
    <xf numFmtId="0" fontId="175" fillId="0" borderId="0" xfId="0" applyFont="1" applyFill="1" applyBorder="1" applyAlignment="1">
      <alignment horizontal="right" vertical="center"/>
    </xf>
    <xf numFmtId="17" fontId="172" fillId="0" borderId="0" xfId="0" applyNumberFormat="1" applyFont="1" applyFill="1" applyBorder="1" applyAlignment="1" applyProtection="1">
      <alignment horizontal="right" vertical="top"/>
      <protection hidden="1"/>
    </xf>
    <xf numFmtId="1" fontId="176" fillId="0" borderId="0" xfId="0" applyNumberFormat="1" applyFont="1" applyFill="1" applyBorder="1" applyAlignment="1" applyProtection="1">
      <protection hidden="1"/>
    </xf>
    <xf numFmtId="164" fontId="167" fillId="24" borderId="5" xfId="0" applyNumberFormat="1" applyFont="1" applyFill="1" applyBorder="1" applyAlignment="1" applyProtection="1">
      <alignment horizontal="right"/>
      <protection hidden="1"/>
    </xf>
    <xf numFmtId="0" fontId="168" fillId="0" borderId="0" xfId="0" applyFont="1" applyBorder="1" applyAlignment="1" applyProtection="1">
      <alignment vertical="center"/>
      <protection hidden="1"/>
    </xf>
    <xf numFmtId="0" fontId="139" fillId="0" borderId="0" xfId="0" applyFont="1" applyBorder="1" applyProtection="1">
      <protection hidden="1"/>
    </xf>
    <xf numFmtId="0" fontId="106" fillId="0" borderId="0" xfId="0" applyFont="1" applyBorder="1" applyAlignment="1" applyProtection="1">
      <alignment vertical="center"/>
      <protection hidden="1"/>
    </xf>
    <xf numFmtId="0" fontId="97" fillId="0" borderId="0" xfId="0" applyFont="1" applyFill="1" applyBorder="1" applyAlignment="1" applyProtection="1">
      <alignment horizontal="left" vertical="center"/>
      <protection hidden="1"/>
    </xf>
    <xf numFmtId="0" fontId="97" fillId="0" borderId="0" xfId="0" applyFont="1" applyFill="1" applyBorder="1" applyAlignment="1" applyProtection="1">
      <alignment vertical="center"/>
      <protection hidden="1"/>
    </xf>
    <xf numFmtId="0" fontId="11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protection hidden="1"/>
    </xf>
    <xf numFmtId="1" fontId="10" fillId="3" borderId="5" xfId="0" applyNumberFormat="1" applyFont="1" applyFill="1" applyBorder="1" applyAlignment="1" applyProtection="1">
      <alignment horizontal="left" vertical="center" wrapText="1"/>
      <protection hidden="1"/>
    </xf>
    <xf numFmtId="0" fontId="5" fillId="3" borderId="5" xfId="0" applyFont="1" applyFill="1" applyBorder="1" applyAlignment="1" applyProtection="1">
      <alignment horizontal="left" vertical="center"/>
      <protection hidden="1"/>
    </xf>
    <xf numFmtId="0" fontId="132" fillId="12" borderId="5" xfId="0" applyFont="1" applyFill="1" applyBorder="1" applyAlignment="1" applyProtection="1">
      <alignment horizontal="left" vertical="center"/>
      <protection locked="0" hidden="1"/>
    </xf>
    <xf numFmtId="166" fontId="163" fillId="0" borderId="5" xfId="0" applyNumberFormat="1" applyFont="1" applyFill="1" applyBorder="1" applyAlignment="1" applyProtection="1">
      <alignment horizontal="right" vertical="center"/>
      <protection locked="0" hidden="1"/>
    </xf>
    <xf numFmtId="0" fontId="11" fillId="0" borderId="1" xfId="2" applyFont="1" applyFill="1" applyBorder="1" applyAlignment="1" applyProtection="1">
      <alignment horizontal="center" vertical="center" wrapText="1"/>
      <protection hidden="1"/>
    </xf>
    <xf numFmtId="1" fontId="11" fillId="0" borderId="22" xfId="1" applyNumberFormat="1" applyFont="1" applyFill="1" applyBorder="1" applyAlignment="1" applyProtection="1">
      <alignment vertical="center"/>
      <protection hidden="1"/>
    </xf>
    <xf numFmtId="1" fontId="11" fillId="0" borderId="22" xfId="1" applyNumberFormat="1" applyFont="1" applyFill="1" applyBorder="1" applyAlignment="1" applyProtection="1">
      <protection hidden="1"/>
    </xf>
    <xf numFmtId="164" fontId="11" fillId="5" borderId="84" xfId="1" applyNumberFormat="1" applyFont="1" applyFill="1" applyBorder="1" applyAlignment="1" applyProtection="1">
      <protection hidden="1"/>
    </xf>
    <xf numFmtId="9" fontId="4" fillId="0" borderId="22" xfId="1" applyNumberFormat="1" applyFont="1" applyFill="1" applyBorder="1" applyAlignment="1" applyProtection="1">
      <alignment horizontal="left"/>
      <protection hidden="1"/>
    </xf>
    <xf numFmtId="0" fontId="188" fillId="24" borderId="5" xfId="0" applyFont="1" applyFill="1" applyBorder="1" applyAlignment="1" applyProtection="1">
      <alignment horizontal="left" vertical="center"/>
      <protection hidden="1"/>
    </xf>
    <xf numFmtId="0" fontId="190" fillId="2" borderId="5" xfId="0" applyFont="1" applyFill="1" applyBorder="1" applyAlignment="1" applyProtection="1">
      <alignment horizontal="left" vertical="center"/>
      <protection hidden="1"/>
    </xf>
    <xf numFmtId="0" fontId="190" fillId="5" borderId="5" xfId="0" applyFont="1" applyFill="1" applyBorder="1" applyAlignment="1" applyProtection="1">
      <alignment horizontal="left" vertical="center"/>
      <protection hidden="1"/>
    </xf>
    <xf numFmtId="0" fontId="190" fillId="8" borderId="5" xfId="0" applyFont="1" applyFill="1" applyBorder="1" applyAlignment="1" applyProtection="1">
      <alignment horizontal="left" vertical="center"/>
      <protection hidden="1"/>
    </xf>
    <xf numFmtId="0" fontId="189" fillId="18" borderId="5" xfId="0" applyFont="1" applyFill="1" applyBorder="1" applyAlignment="1" applyProtection="1">
      <alignment horizontal="left" vertical="center"/>
      <protection hidden="1"/>
    </xf>
    <xf numFmtId="0" fontId="68" fillId="0" borderId="0" xfId="0" applyFont="1" applyBorder="1" applyAlignment="1" applyProtection="1">
      <alignment vertical="center"/>
      <protection hidden="1"/>
    </xf>
    <xf numFmtId="0" fontId="65" fillId="0" borderId="0" xfId="0" applyFont="1" applyBorder="1" applyAlignment="1" applyProtection="1">
      <alignment vertical="center" wrapText="1"/>
      <protection hidden="1"/>
    </xf>
    <xf numFmtId="0" fontId="11" fillId="0" borderId="1" xfId="2" applyFont="1" applyBorder="1" applyAlignment="1" applyProtection="1">
      <alignment horizontal="center" vertical="center"/>
      <protection hidden="1"/>
    </xf>
    <xf numFmtId="165" fontId="9" fillId="15" borderId="12" xfId="0" applyNumberFormat="1" applyFont="1" applyFill="1" applyBorder="1" applyProtection="1">
      <protection hidden="1"/>
    </xf>
    <xf numFmtId="0" fontId="185" fillId="0" borderId="0" xfId="0" applyFont="1" applyFill="1" applyBorder="1" applyAlignment="1">
      <alignment vertical="center" textRotation="90"/>
    </xf>
    <xf numFmtId="0" fontId="178" fillId="0" borderId="0" xfId="0" applyFont="1" applyFill="1" applyBorder="1" applyAlignment="1">
      <alignment vertical="center" wrapText="1"/>
    </xf>
    <xf numFmtId="165" fontId="10" fillId="3" borderId="5" xfId="0" applyNumberFormat="1" applyFont="1" applyFill="1" applyBorder="1" applyAlignment="1" applyProtection="1">
      <alignment horizontal="right" vertical="center"/>
      <protection hidden="1"/>
    </xf>
    <xf numFmtId="165" fontId="34" fillId="0" borderId="5" xfId="0" applyNumberFormat="1" applyFont="1" applyFill="1" applyBorder="1" applyAlignment="1" applyProtection="1">
      <alignment horizontal="right" vertical="center"/>
      <protection locked="0"/>
    </xf>
    <xf numFmtId="1" fontId="105" fillId="0" borderId="5" xfId="0" applyNumberFormat="1" applyFont="1" applyBorder="1" applyProtection="1">
      <protection locked="0"/>
    </xf>
    <xf numFmtId="1" fontId="14" fillId="0" borderId="5" xfId="0" applyNumberFormat="1" applyFont="1" applyFill="1" applyBorder="1" applyProtection="1">
      <protection locked="0"/>
    </xf>
    <xf numFmtId="0" fontId="85" fillId="12" borderId="5" xfId="0" applyFont="1" applyFill="1" applyBorder="1" applyAlignment="1" applyProtection="1">
      <alignment horizontal="center" vertical="center" wrapText="1"/>
    </xf>
    <xf numFmtId="0" fontId="191" fillId="12" borderId="5" xfId="0" applyFont="1" applyFill="1" applyBorder="1" applyAlignment="1" applyProtection="1">
      <alignment horizontal="center" vertical="center" wrapText="1"/>
    </xf>
    <xf numFmtId="0" fontId="111" fillId="12" borderId="5" xfId="0" applyFont="1" applyFill="1" applyBorder="1" applyAlignment="1" applyProtection="1">
      <alignment horizontal="center" vertical="center" wrapText="1"/>
    </xf>
    <xf numFmtId="0" fontId="141" fillId="19" borderId="5" xfId="0" applyFont="1" applyFill="1" applyBorder="1" applyAlignment="1" applyProtection="1">
      <alignment horizontal="center" vertical="center" wrapText="1"/>
    </xf>
    <xf numFmtId="0" fontId="132" fillId="19" borderId="5" xfId="0" applyFont="1" applyFill="1" applyBorder="1" applyAlignment="1" applyProtection="1">
      <alignment horizontal="center" vertical="center" wrapText="1"/>
    </xf>
    <xf numFmtId="0" fontId="132" fillId="18" borderId="5" xfId="0" applyFont="1" applyFill="1" applyBorder="1" applyAlignment="1" applyProtection="1">
      <alignment horizontal="center" vertical="center" wrapText="1"/>
    </xf>
    <xf numFmtId="0" fontId="192" fillId="3" borderId="5" xfId="0" applyFont="1" applyFill="1" applyBorder="1" applyAlignment="1" applyProtection="1">
      <alignment horizontal="center" vertical="center" wrapText="1"/>
      <protection hidden="1"/>
    </xf>
    <xf numFmtId="0" fontId="177" fillId="18" borderId="5" xfId="0" applyFont="1" applyFill="1" applyBorder="1" applyAlignment="1" applyProtection="1">
      <alignment horizontal="left" vertical="top"/>
      <protection hidden="1"/>
    </xf>
    <xf numFmtId="17" fontId="177" fillId="18" borderId="5" xfId="0" applyNumberFormat="1" applyFont="1" applyFill="1" applyBorder="1" applyAlignment="1" applyProtection="1">
      <alignment horizontal="left" vertical="top"/>
      <protection hidden="1"/>
    </xf>
    <xf numFmtId="164" fontId="13" fillId="0" borderId="5" xfId="0" applyNumberFormat="1" applyFont="1" applyBorder="1" applyAlignment="1" applyProtection="1">
      <alignment horizontal="right" vertical="center"/>
      <protection locked="0"/>
    </xf>
    <xf numFmtId="0" fontId="34" fillId="0" borderId="12" xfId="0" applyFont="1" applyFill="1" applyBorder="1" applyAlignment="1" applyProtection="1">
      <alignment horizontal="center" vertical="center" wrapText="1"/>
      <protection hidden="1"/>
    </xf>
    <xf numFmtId="1" fontId="86" fillId="0" borderId="5" xfId="0" applyNumberFormat="1" applyFont="1" applyFill="1" applyBorder="1" applyAlignment="1" applyProtection="1">
      <alignment horizontal="center" vertical="center"/>
      <protection locked="0"/>
    </xf>
    <xf numFmtId="41" fontId="19" fillId="13" borderId="20" xfId="4" applyNumberFormat="1" applyFont="1" applyFill="1" applyBorder="1" applyAlignment="1" applyProtection="1">
      <alignment horizontal="left" wrapText="1"/>
    </xf>
    <xf numFmtId="41" fontId="11" fillId="13" borderId="20" xfId="4" applyNumberFormat="1" applyFont="1" applyFill="1" applyBorder="1" applyAlignment="1" applyProtection="1">
      <alignment wrapText="1"/>
    </xf>
    <xf numFmtId="41" fontId="11" fillId="13" borderId="20" xfId="4" applyNumberFormat="1" applyFont="1" applyFill="1" applyBorder="1" applyAlignment="1" applyProtection="1"/>
    <xf numFmtId="41" fontId="71" fillId="13" borderId="20" xfId="4" applyNumberFormat="1" applyFont="1" applyFill="1" applyBorder="1" applyAlignment="1" applyProtection="1"/>
    <xf numFmtId="0" fontId="11" fillId="13" borderId="20" xfId="0" applyFont="1" applyFill="1" applyBorder="1" applyAlignment="1" applyProtection="1"/>
    <xf numFmtId="0" fontId="11" fillId="13" borderId="23" xfId="0" applyFont="1" applyFill="1" applyBorder="1" applyAlignment="1" applyProtection="1">
      <alignment wrapText="1"/>
    </xf>
    <xf numFmtId="0" fontId="71" fillId="13" borderId="23" xfId="0" applyFont="1" applyFill="1" applyBorder="1" applyAlignment="1" applyProtection="1"/>
    <xf numFmtId="0" fontId="11" fillId="13" borderId="162" xfId="0" applyFont="1" applyFill="1" applyBorder="1" applyAlignment="1" applyProtection="1">
      <alignment vertical="top" wrapText="1"/>
    </xf>
    <xf numFmtId="41" fontId="11" fillId="13" borderId="23" xfId="4" applyNumberFormat="1" applyFont="1" applyFill="1" applyBorder="1" applyAlignment="1" applyProtection="1">
      <alignment horizontal="left" wrapText="1"/>
    </xf>
    <xf numFmtId="0" fontId="11" fillId="13" borderId="23" xfId="0" applyFont="1" applyFill="1" applyBorder="1" applyAlignment="1" applyProtection="1">
      <alignment horizontal="left" wrapText="1"/>
    </xf>
    <xf numFmtId="0" fontId="0" fillId="0" borderId="14" xfId="0" applyBorder="1"/>
    <xf numFmtId="1" fontId="130" fillId="0" borderId="5" xfId="0" applyNumberFormat="1" applyFont="1" applyBorder="1" applyAlignment="1" applyProtection="1">
      <alignment horizontal="center" vertical="center"/>
      <protection hidden="1"/>
    </xf>
    <xf numFmtId="0" fontId="130" fillId="0" borderId="5" xfId="0" applyFont="1" applyBorder="1" applyAlignment="1" applyProtection="1">
      <alignment horizontal="center" vertical="center"/>
      <protection hidden="1"/>
    </xf>
    <xf numFmtId="0" fontId="109" fillId="0" borderId="5" xfId="0" applyFont="1" applyBorder="1" applyAlignment="1" applyProtection="1">
      <protection hidden="1"/>
    </xf>
    <xf numFmtId="1" fontId="25" fillId="0" borderId="5" xfId="0" applyNumberFormat="1" applyFont="1" applyBorder="1" applyProtection="1">
      <protection hidden="1"/>
    </xf>
    <xf numFmtId="0" fontId="25" fillId="0" borderId="5" xfId="0" applyFont="1" applyBorder="1" applyProtection="1">
      <protection hidden="1"/>
    </xf>
    <xf numFmtId="0" fontId="201" fillId="0" borderId="5" xfId="0" applyNumberFormat="1" applyFont="1" applyFill="1" applyBorder="1" applyAlignment="1" applyProtection="1">
      <protection hidden="1"/>
    </xf>
    <xf numFmtId="1" fontId="201" fillId="0" borderId="5" xfId="0" applyNumberFormat="1" applyFont="1" applyFill="1" applyBorder="1" applyAlignment="1" applyProtection="1">
      <protection hidden="1"/>
    </xf>
    <xf numFmtId="173" fontId="202" fillId="0" borderId="5" xfId="0" applyNumberFormat="1" applyFont="1" applyFill="1" applyBorder="1" applyAlignment="1" applyProtection="1">
      <alignment horizontal="center"/>
      <protection hidden="1"/>
    </xf>
    <xf numFmtId="173" fontId="199" fillId="0" borderId="5" xfId="0" applyNumberFormat="1" applyFont="1" applyFill="1" applyBorder="1" applyAlignment="1" applyProtection="1">
      <alignment horizontal="center" vertical="center"/>
      <protection hidden="1"/>
    </xf>
    <xf numFmtId="0" fontId="34" fillId="0" borderId="5" xfId="0" applyFont="1" applyBorder="1" applyAlignment="1" applyProtection="1">
      <protection hidden="1"/>
    </xf>
    <xf numFmtId="1" fontId="130" fillId="0" borderId="5" xfId="0" applyNumberFormat="1" applyFont="1" applyBorder="1" applyAlignment="1" applyProtection="1">
      <alignment horizontal="right" wrapText="1"/>
      <protection hidden="1"/>
    </xf>
    <xf numFmtId="0" fontId="130" fillId="0" borderId="5" xfId="0" applyFont="1" applyBorder="1" applyProtection="1">
      <protection hidden="1"/>
    </xf>
    <xf numFmtId="164" fontId="34" fillId="0" borderId="5" xfId="0" applyNumberFormat="1" applyFont="1" applyBorder="1" applyAlignment="1" applyProtection="1">
      <alignment textRotation="255"/>
      <protection hidden="1"/>
    </xf>
    <xf numFmtId="164" fontId="139" fillId="0" borderId="5" xfId="0" applyNumberFormat="1" applyFont="1" applyBorder="1" applyAlignment="1" applyProtection="1">
      <alignment textRotation="255"/>
      <protection hidden="1"/>
    </xf>
    <xf numFmtId="0" fontId="34" fillId="0" borderId="5" xfId="0" applyFont="1" applyBorder="1" applyAlignment="1" applyProtection="1">
      <alignment horizontal="center"/>
      <protection hidden="1"/>
    </xf>
    <xf numFmtId="1" fontId="129" fillId="0" borderId="5" xfId="0" applyNumberFormat="1" applyFont="1" applyBorder="1" applyAlignment="1" applyProtection="1">
      <alignment horizontal="center" vertical="center"/>
      <protection hidden="1"/>
    </xf>
    <xf numFmtId="0" fontId="129" fillId="0" borderId="5" xfId="0" applyFont="1" applyBorder="1" applyAlignment="1" applyProtection="1">
      <alignment horizontal="center" vertical="center"/>
      <protection hidden="1"/>
    </xf>
    <xf numFmtId="0" fontId="103" fillId="0" borderId="5" xfId="0" applyFont="1" applyBorder="1" applyAlignment="1" applyProtection="1">
      <alignment horizontal="right"/>
      <protection hidden="1"/>
    </xf>
    <xf numFmtId="0" fontId="109" fillId="0" borderId="5" xfId="0" applyFont="1" applyBorder="1" applyAlignment="1" applyProtection="1">
      <alignment horizontal="right"/>
      <protection hidden="1"/>
    </xf>
    <xf numFmtId="1" fontId="109" fillId="0" borderId="5" xfId="0" applyNumberFormat="1" applyFont="1" applyBorder="1" applyProtection="1">
      <protection hidden="1"/>
    </xf>
    <xf numFmtId="1" fontId="34" fillId="0" borderId="5" xfId="0" applyNumberFormat="1" applyFont="1" applyBorder="1" applyAlignment="1" applyProtection="1">
      <protection hidden="1"/>
    </xf>
    <xf numFmtId="0" fontId="109" fillId="0" borderId="5" xfId="0" applyFont="1" applyBorder="1" applyAlignment="1" applyProtection="1">
      <alignment horizontal="left"/>
      <protection hidden="1"/>
    </xf>
    <xf numFmtId="1" fontId="25" fillId="0" borderId="5" xfId="0" applyNumberFormat="1" applyFont="1" applyBorder="1" applyAlignment="1" applyProtection="1">
      <alignment horizontal="left" vertical="center"/>
      <protection hidden="1"/>
    </xf>
    <xf numFmtId="0" fontId="25" fillId="0" borderId="5" xfId="0" applyFont="1" applyBorder="1" applyAlignment="1" applyProtection="1">
      <alignment horizontal="left" vertical="center"/>
      <protection hidden="1"/>
    </xf>
    <xf numFmtId="0" fontId="25" fillId="0" borderId="48" xfId="0" applyFont="1" applyBorder="1" applyProtection="1">
      <protection hidden="1"/>
    </xf>
    <xf numFmtId="1" fontId="200" fillId="0" borderId="5" xfId="0" applyNumberFormat="1" applyFont="1" applyBorder="1" applyAlignment="1" applyProtection="1">
      <alignment vertical="center"/>
      <protection hidden="1"/>
    </xf>
    <xf numFmtId="0" fontId="200" fillId="0" borderId="5" xfId="0" applyFont="1" applyBorder="1" applyAlignment="1" applyProtection="1">
      <alignment vertical="center"/>
      <protection hidden="1"/>
    </xf>
    <xf numFmtId="0" fontId="201" fillId="0" borderId="5" xfId="0" applyFont="1" applyBorder="1" applyAlignment="1" applyProtection="1">
      <protection hidden="1"/>
    </xf>
    <xf numFmtId="1" fontId="201" fillId="0" borderId="5" xfId="0" applyNumberFormat="1" applyFont="1" applyBorder="1" applyAlignment="1" applyProtection="1">
      <alignment vertical="center"/>
      <protection hidden="1"/>
    </xf>
    <xf numFmtId="0" fontId="201" fillId="0" borderId="5" xfId="0" applyFont="1" applyBorder="1" applyAlignment="1" applyProtection="1">
      <alignment vertical="center"/>
      <protection hidden="1"/>
    </xf>
    <xf numFmtId="0" fontId="189" fillId="19" borderId="5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/>
    <xf numFmtId="0" fontId="129" fillId="0" borderId="12" xfId="0" applyFont="1" applyBorder="1" applyAlignment="1" applyProtection="1">
      <alignment horizontal="center" vertical="center"/>
      <protection hidden="1"/>
    </xf>
    <xf numFmtId="0" fontId="25" fillId="0" borderId="72" xfId="0" applyFont="1" applyBorder="1" applyProtection="1">
      <protection hidden="1"/>
    </xf>
    <xf numFmtId="0" fontId="25" fillId="0" borderId="0" xfId="0" applyFont="1" applyBorder="1" applyProtection="1">
      <protection hidden="1"/>
    </xf>
    <xf numFmtId="0" fontId="169" fillId="0" borderId="0" xfId="0" applyFont="1" applyBorder="1" applyAlignment="1" applyProtection="1">
      <alignment horizontal="center" vertical="center"/>
      <protection hidden="1"/>
    </xf>
    <xf numFmtId="0" fontId="205" fillId="0" borderId="0" xfId="0" applyFont="1" applyBorder="1" applyAlignment="1" applyProtection="1">
      <alignment horizontal="center" vertical="center"/>
      <protection hidden="1"/>
    </xf>
    <xf numFmtId="0" fontId="130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protection hidden="1"/>
    </xf>
    <xf numFmtId="0" fontId="25" fillId="0" borderId="0" xfId="0" applyFont="1" applyBorder="1" applyAlignment="1" applyProtection="1">
      <alignment horizontal="left" vertical="center"/>
      <protection hidden="1"/>
    </xf>
    <xf numFmtId="0" fontId="200" fillId="0" borderId="0" xfId="0" applyFont="1" applyBorder="1" applyAlignment="1" applyProtection="1">
      <alignment vertical="center"/>
      <protection hidden="1"/>
    </xf>
    <xf numFmtId="0" fontId="25" fillId="0" borderId="52" xfId="0" applyFont="1" applyBorder="1" applyProtection="1">
      <protection hidden="1"/>
    </xf>
    <xf numFmtId="0" fontId="25" fillId="0" borderId="14" xfId="0" applyFont="1" applyBorder="1" applyProtection="1">
      <protection hidden="1"/>
    </xf>
    <xf numFmtId="0" fontId="25" fillId="0" borderId="38" xfId="0" applyFont="1" applyBorder="1" applyProtection="1">
      <protection hidden="1"/>
    </xf>
    <xf numFmtId="0" fontId="201" fillId="0" borderId="0" xfId="0" applyNumberFormat="1" applyFont="1" applyFill="1" applyBorder="1" applyAlignment="1" applyProtection="1">
      <protection hidden="1"/>
    </xf>
    <xf numFmtId="0" fontId="201" fillId="0" borderId="0" xfId="0" applyFont="1" applyBorder="1" applyAlignment="1" applyProtection="1">
      <alignment vertical="center"/>
      <protection hidden="1"/>
    </xf>
    <xf numFmtId="0" fontId="169" fillId="0" borderId="5" xfId="0" applyFont="1" applyBorder="1" applyAlignment="1" applyProtection="1">
      <alignment horizontal="center" vertical="center"/>
      <protection hidden="1"/>
    </xf>
    <xf numFmtId="0" fontId="205" fillId="0" borderId="5" xfId="0" applyFont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Protection="1">
      <protection hidden="1"/>
    </xf>
    <xf numFmtId="165" fontId="206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71" fillId="0" borderId="5" xfId="3" applyNumberFormat="1" applyFont="1" applyBorder="1" applyProtection="1">
      <protection hidden="1"/>
    </xf>
    <xf numFmtId="0" fontId="34" fillId="0" borderId="5" xfId="0" applyFont="1" applyBorder="1" applyAlignment="1" applyProtection="1">
      <alignment horizontal="right" vertical="center"/>
      <protection hidden="1"/>
    </xf>
    <xf numFmtId="1" fontId="34" fillId="0" borderId="5" xfId="0" applyNumberFormat="1" applyFont="1" applyBorder="1" applyAlignment="1" applyProtection="1">
      <alignment horizontal="right" vertic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1" fontId="208" fillId="0" borderId="5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5" xfId="6" applyNumberFormat="1" applyFont="1" applyFill="1" applyBorder="1" applyAlignment="1" applyProtection="1">
      <alignment horizontal="right" vertical="center"/>
      <protection hidden="1"/>
    </xf>
    <xf numFmtId="166" fontId="9" fillId="27" borderId="5" xfId="0" applyNumberFormat="1" applyFont="1" applyFill="1" applyBorder="1" applyAlignment="1" applyProtection="1">
      <alignment horizontal="right" vertical="center"/>
      <protection hidden="1"/>
    </xf>
    <xf numFmtId="165" fontId="207" fillId="27" borderId="5" xfId="6" applyNumberFormat="1" applyFont="1" applyFill="1" applyBorder="1" applyAlignment="1" applyProtection="1">
      <alignment horizontal="right" vertical="center"/>
    </xf>
    <xf numFmtId="0" fontId="209" fillId="27" borderId="5" xfId="6" applyFont="1" applyFill="1" applyBorder="1" applyAlignment="1" applyProtection="1">
      <alignment horizontal="right" vertical="center"/>
      <protection hidden="1"/>
    </xf>
    <xf numFmtId="0" fontId="163" fillId="0" borderId="5" xfId="0" applyFont="1" applyBorder="1" applyAlignment="1" applyProtection="1">
      <alignment horizontal="right" vertical="center"/>
      <protection locked="0"/>
    </xf>
    <xf numFmtId="0" fontId="163" fillId="0" borderId="5" xfId="0" applyFont="1" applyFill="1" applyBorder="1" applyProtection="1">
      <protection locked="0"/>
    </xf>
    <xf numFmtId="0" fontId="209" fillId="3" borderId="5" xfId="6" applyFont="1" applyFill="1" applyBorder="1" applyAlignment="1" applyProtection="1">
      <alignment horizontal="right" vertical="center"/>
      <protection hidden="1"/>
    </xf>
    <xf numFmtId="0" fontId="165" fillId="0" borderId="5" xfId="0" applyFont="1" applyBorder="1" applyAlignment="1" applyProtection="1">
      <alignment horizontal="left" vertical="center" wrapText="1"/>
      <protection locked="0"/>
    </xf>
    <xf numFmtId="49" fontId="165" fillId="0" borderId="5" xfId="0" applyNumberFormat="1" applyFont="1" applyBorder="1" applyAlignment="1" applyProtection="1">
      <alignment horizontal="left" vertical="center"/>
      <protection locked="0"/>
    </xf>
    <xf numFmtId="0" fontId="165" fillId="0" borderId="5" xfId="0" applyFont="1" applyBorder="1" applyAlignment="1" applyProtection="1">
      <alignment horizontal="left" vertical="center"/>
      <protection locked="0"/>
    </xf>
    <xf numFmtId="49" fontId="165" fillId="0" borderId="5" xfId="0" applyNumberFormat="1" applyFont="1" applyBorder="1" applyAlignment="1" applyProtection="1">
      <alignment horizontal="left" vertical="center" wrapText="1"/>
      <protection locked="0"/>
    </xf>
    <xf numFmtId="165" fontId="9" fillId="3" borderId="12" xfId="0" applyNumberFormat="1" applyFont="1" applyFill="1" applyBorder="1" applyProtection="1">
      <protection hidden="1"/>
    </xf>
    <xf numFmtId="0" fontId="195" fillId="0" borderId="163" xfId="0" applyFont="1" applyFill="1" applyBorder="1" applyAlignment="1" applyProtection="1">
      <alignment horizontal="center" vertical="center" wrapText="1"/>
      <protection hidden="1"/>
    </xf>
    <xf numFmtId="166" fontId="195" fillId="0" borderId="164" xfId="0" applyNumberFormat="1" applyFont="1" applyFill="1" applyBorder="1" applyAlignment="1">
      <alignment horizontal="right" vertical="center"/>
    </xf>
    <xf numFmtId="0" fontId="70" fillId="9" borderId="5" xfId="0" applyFont="1" applyFill="1" applyBorder="1" applyAlignment="1" applyProtection="1">
      <alignment horizontal="center" vertical="center"/>
    </xf>
    <xf numFmtId="0" fontId="70" fillId="28" borderId="5" xfId="0" applyFont="1" applyFill="1" applyBorder="1" applyAlignment="1" applyProtection="1">
      <alignment horizontal="center" vertical="center"/>
    </xf>
    <xf numFmtId="0" fontId="194" fillId="0" borderId="165" xfId="0" applyFont="1" applyFill="1" applyBorder="1" applyAlignment="1">
      <alignment horizontal="right" vertical="center"/>
    </xf>
    <xf numFmtId="0" fontId="25" fillId="0" borderId="11" xfId="0" applyFont="1" applyBorder="1" applyProtection="1">
      <protection hidden="1"/>
    </xf>
    <xf numFmtId="17" fontId="210" fillId="2" borderId="5" xfId="0" applyNumberFormat="1" applyFont="1" applyFill="1" applyBorder="1" applyAlignment="1" applyProtection="1">
      <alignment horizontal="left" vertical="top"/>
      <protection hidden="1"/>
    </xf>
    <xf numFmtId="0" fontId="71" fillId="0" borderId="14" xfId="0" applyFont="1" applyBorder="1" applyAlignment="1" applyProtection="1">
      <alignment horizontal="right"/>
      <protection hidden="1"/>
    </xf>
    <xf numFmtId="0" fontId="71" fillId="0" borderId="0" xfId="0" applyFont="1" applyAlignment="1" applyProtection="1">
      <alignment horizontal="right"/>
      <protection hidden="1"/>
    </xf>
    <xf numFmtId="0" fontId="173" fillId="5" borderId="57" xfId="0" applyFont="1" applyFill="1" applyBorder="1" applyAlignment="1" applyProtection="1">
      <alignment horizontal="center" vertical="center" wrapText="1"/>
      <protection hidden="1"/>
    </xf>
    <xf numFmtId="0" fontId="173" fillId="5" borderId="56" xfId="0" applyFont="1" applyFill="1" applyBorder="1" applyAlignment="1" applyProtection="1">
      <alignment horizontal="center" vertical="center" wrapText="1"/>
      <protection hidden="1"/>
    </xf>
    <xf numFmtId="0" fontId="173" fillId="5" borderId="58" xfId="0" applyFont="1" applyFill="1" applyBorder="1" applyAlignment="1" applyProtection="1">
      <alignment horizontal="center" vertical="center" wrapText="1"/>
      <protection hidden="1"/>
    </xf>
    <xf numFmtId="0" fontId="173" fillId="5" borderId="63" xfId="0" applyFont="1" applyFill="1" applyBorder="1" applyAlignment="1" applyProtection="1">
      <alignment horizontal="center" vertical="center" wrapText="1"/>
      <protection hidden="1"/>
    </xf>
    <xf numFmtId="0" fontId="173" fillId="5" borderId="0" xfId="0" applyFont="1" applyFill="1" applyBorder="1" applyAlignment="1" applyProtection="1">
      <alignment horizontal="center" vertical="center" wrapText="1"/>
      <protection hidden="1"/>
    </xf>
    <xf numFmtId="0" fontId="173" fillId="5" borderId="61" xfId="0" applyFont="1" applyFill="1" applyBorder="1" applyAlignment="1" applyProtection="1">
      <alignment horizontal="center" vertical="center" wrapText="1"/>
      <protection hidden="1"/>
    </xf>
    <xf numFmtId="0" fontId="173" fillId="5" borderId="59" xfId="0" applyFont="1" applyFill="1" applyBorder="1" applyAlignment="1" applyProtection="1">
      <alignment horizontal="center" vertical="center" wrapText="1"/>
      <protection hidden="1"/>
    </xf>
    <xf numFmtId="0" fontId="173" fillId="5" borderId="62" xfId="0" applyFont="1" applyFill="1" applyBorder="1" applyAlignment="1" applyProtection="1">
      <alignment horizontal="center" vertical="center" wrapText="1"/>
      <protection hidden="1"/>
    </xf>
    <xf numFmtId="0" fontId="173" fillId="5" borderId="60" xfId="0" applyFont="1" applyFill="1" applyBorder="1" applyAlignment="1" applyProtection="1">
      <alignment horizontal="center" vertical="center" wrapText="1"/>
      <protection hidden="1"/>
    </xf>
    <xf numFmtId="172" fontId="130" fillId="0" borderId="1" xfId="0" applyNumberFormat="1" applyFont="1" applyBorder="1" applyAlignment="1" applyProtection="1">
      <alignment horizontal="center" vertical="center"/>
      <protection hidden="1"/>
    </xf>
    <xf numFmtId="172" fontId="130" fillId="0" borderId="2" xfId="0" applyNumberFormat="1" applyFont="1" applyBorder="1" applyAlignment="1" applyProtection="1">
      <alignment horizontal="center" vertical="center"/>
      <protection hidden="1"/>
    </xf>
    <xf numFmtId="172" fontId="130" fillId="0" borderId="5" xfId="0" applyNumberFormat="1" applyFont="1" applyBorder="1" applyAlignment="1" applyProtection="1">
      <alignment horizontal="center" vertical="center"/>
      <protection hidden="1"/>
    </xf>
    <xf numFmtId="172" fontId="130" fillId="0" borderId="6" xfId="0" applyNumberFormat="1" applyFont="1" applyBorder="1" applyAlignment="1" applyProtection="1">
      <alignment horizontal="center" vertical="center"/>
      <protection hidden="1"/>
    </xf>
    <xf numFmtId="0" fontId="10" fillId="3" borderId="102" xfId="0" applyFont="1" applyFill="1" applyBorder="1" applyAlignment="1" applyProtection="1">
      <alignment horizontal="center" vertical="center"/>
      <protection hidden="1"/>
    </xf>
    <xf numFmtId="0" fontId="10" fillId="3" borderId="104" xfId="0" applyFont="1" applyFill="1" applyBorder="1" applyAlignment="1" applyProtection="1">
      <alignment horizontal="center" vertical="center"/>
      <protection hidden="1"/>
    </xf>
    <xf numFmtId="0" fontId="179" fillId="0" borderId="63" xfId="0" applyFont="1" applyBorder="1" applyAlignment="1" applyProtection="1">
      <alignment horizontal="center" vertical="center" wrapText="1"/>
      <protection hidden="1"/>
    </xf>
    <xf numFmtId="0" fontId="179" fillId="0" borderId="0" xfId="0" applyFont="1" applyBorder="1" applyAlignment="1" applyProtection="1">
      <alignment horizontal="center" vertical="center" wrapText="1"/>
      <protection hidden="1"/>
    </xf>
    <xf numFmtId="0" fontId="179" fillId="0" borderId="61" xfId="0" applyFont="1" applyBorder="1" applyAlignment="1" applyProtection="1">
      <alignment horizontal="center" vertical="center" wrapText="1"/>
      <protection hidden="1"/>
    </xf>
    <xf numFmtId="0" fontId="179" fillId="0" borderId="59" xfId="0" applyFont="1" applyBorder="1" applyAlignment="1" applyProtection="1">
      <alignment horizontal="center" vertical="center" wrapText="1"/>
      <protection hidden="1"/>
    </xf>
    <xf numFmtId="0" fontId="179" fillId="0" borderId="62" xfId="0" applyFont="1" applyBorder="1" applyAlignment="1" applyProtection="1">
      <alignment horizontal="center" vertical="center" wrapText="1"/>
      <protection hidden="1"/>
    </xf>
    <xf numFmtId="0" fontId="179" fillId="0" borderId="60" xfId="0" applyFont="1" applyBorder="1" applyAlignment="1" applyProtection="1">
      <alignment horizontal="center" vertical="center" wrapText="1"/>
      <protection hidden="1"/>
    </xf>
    <xf numFmtId="0" fontId="82" fillId="0" borderId="57" xfId="0" applyFont="1" applyBorder="1" applyAlignment="1" applyProtection="1">
      <alignment horizontal="center" vertical="center"/>
      <protection hidden="1"/>
    </xf>
    <xf numFmtId="0" fontId="82" fillId="0" borderId="56" xfId="0" applyFont="1" applyBorder="1" applyAlignment="1" applyProtection="1">
      <alignment horizontal="center" vertical="center"/>
      <protection hidden="1"/>
    </xf>
    <xf numFmtId="0" fontId="82" fillId="0" borderId="58" xfId="0" applyFont="1" applyBorder="1" applyAlignment="1" applyProtection="1">
      <alignment horizontal="center" vertical="center"/>
      <protection hidden="1"/>
    </xf>
    <xf numFmtId="0" fontId="102" fillId="0" borderId="59" xfId="0" applyFont="1" applyBorder="1" applyAlignment="1" applyProtection="1">
      <alignment horizontal="center" vertical="center"/>
      <protection hidden="1"/>
    </xf>
    <xf numFmtId="0" fontId="102" fillId="0" borderId="62" xfId="0" applyFont="1" applyBorder="1" applyAlignment="1" applyProtection="1">
      <alignment horizontal="center" vertical="center"/>
      <protection hidden="1"/>
    </xf>
    <xf numFmtId="0" fontId="102" fillId="0" borderId="60" xfId="0" applyFont="1" applyBorder="1" applyAlignment="1" applyProtection="1">
      <alignment horizontal="center" vertical="center"/>
      <protection hidden="1"/>
    </xf>
    <xf numFmtId="0" fontId="182" fillId="0" borderId="57" xfId="0" applyFont="1" applyBorder="1" applyAlignment="1" applyProtection="1">
      <alignment horizontal="center" vertical="top"/>
      <protection hidden="1"/>
    </xf>
    <xf numFmtId="0" fontId="182" fillId="0" borderId="56" xfId="0" applyFont="1" applyBorder="1" applyAlignment="1" applyProtection="1">
      <alignment horizontal="center" vertical="top"/>
      <protection hidden="1"/>
    </xf>
    <xf numFmtId="0" fontId="182" fillId="0" borderId="58" xfId="0" applyFont="1" applyBorder="1" applyAlignment="1" applyProtection="1">
      <alignment horizontal="center" vertical="top"/>
      <protection hidden="1"/>
    </xf>
    <xf numFmtId="0" fontId="182" fillId="0" borderId="63" xfId="0" applyFont="1" applyBorder="1" applyAlignment="1" applyProtection="1">
      <alignment horizontal="center" vertical="top"/>
      <protection hidden="1"/>
    </xf>
    <xf numFmtId="0" fontId="182" fillId="0" borderId="0" xfId="0" applyFont="1" applyBorder="1" applyAlignment="1" applyProtection="1">
      <alignment horizontal="center" vertical="top"/>
      <protection hidden="1"/>
    </xf>
    <xf numFmtId="0" fontId="182" fillId="0" borderId="61" xfId="0" applyFont="1" applyBorder="1" applyAlignment="1" applyProtection="1">
      <alignment horizontal="center" vertical="top"/>
      <protection hidden="1"/>
    </xf>
    <xf numFmtId="0" fontId="181" fillId="0" borderId="63" xfId="0" applyFont="1" applyBorder="1" applyAlignment="1" applyProtection="1">
      <alignment horizontal="left" vertical="center" wrapText="1"/>
      <protection hidden="1"/>
    </xf>
    <xf numFmtId="0" fontId="181" fillId="0" borderId="0" xfId="0" applyFont="1" applyBorder="1" applyAlignment="1" applyProtection="1">
      <alignment horizontal="left" vertical="center" wrapText="1"/>
      <protection hidden="1"/>
    </xf>
    <xf numFmtId="0" fontId="181" fillId="0" borderId="61" xfId="0" applyFont="1" applyBorder="1" applyAlignment="1" applyProtection="1">
      <alignment horizontal="left" vertical="center" wrapText="1"/>
      <protection hidden="1"/>
    </xf>
    <xf numFmtId="0" fontId="181" fillId="0" borderId="59" xfId="0" applyFont="1" applyBorder="1" applyAlignment="1" applyProtection="1">
      <alignment horizontal="left" vertical="center" wrapText="1"/>
      <protection hidden="1"/>
    </xf>
    <xf numFmtId="0" fontId="181" fillId="0" borderId="62" xfId="0" applyFont="1" applyBorder="1" applyAlignment="1" applyProtection="1">
      <alignment horizontal="left" vertical="center" wrapText="1"/>
      <protection hidden="1"/>
    </xf>
    <xf numFmtId="0" fontId="181" fillId="0" borderId="60" xfId="0" applyFont="1" applyBorder="1" applyAlignment="1" applyProtection="1">
      <alignment horizontal="left" vertical="center" wrapText="1"/>
      <protection hidden="1"/>
    </xf>
    <xf numFmtId="0" fontId="178" fillId="0" borderId="57" xfId="0" applyFont="1" applyBorder="1" applyAlignment="1" applyProtection="1">
      <alignment horizontal="center" vertical="top" wrapText="1"/>
      <protection hidden="1"/>
    </xf>
    <xf numFmtId="0" fontId="178" fillId="0" borderId="56" xfId="0" applyFont="1" applyBorder="1" applyAlignment="1" applyProtection="1">
      <alignment horizontal="center" vertical="top" wrapText="1"/>
      <protection hidden="1"/>
    </xf>
    <xf numFmtId="0" fontId="178" fillId="0" borderId="58" xfId="0" applyFont="1" applyBorder="1" applyAlignment="1" applyProtection="1">
      <alignment horizontal="center" vertical="top" wrapText="1"/>
      <protection hidden="1"/>
    </xf>
    <xf numFmtId="0" fontId="178" fillId="0" borderId="63" xfId="0" applyFont="1" applyBorder="1" applyAlignment="1" applyProtection="1">
      <alignment horizontal="center" vertical="top" wrapText="1"/>
      <protection hidden="1"/>
    </xf>
    <xf numFmtId="0" fontId="178" fillId="0" borderId="0" xfId="0" applyFont="1" applyBorder="1" applyAlignment="1" applyProtection="1">
      <alignment horizontal="center" vertical="top" wrapText="1"/>
      <protection hidden="1"/>
    </xf>
    <xf numFmtId="0" fontId="178" fillId="0" borderId="61" xfId="0" applyFont="1" applyBorder="1" applyAlignment="1" applyProtection="1">
      <alignment horizontal="center" vertical="top" wrapText="1"/>
      <protection hidden="1"/>
    </xf>
    <xf numFmtId="0" fontId="88" fillId="0" borderId="57" xfId="0" applyFont="1" applyBorder="1" applyAlignment="1" applyProtection="1">
      <alignment horizontal="center" vertical="center" wrapText="1"/>
      <protection hidden="1"/>
    </xf>
    <xf numFmtId="0" fontId="88" fillId="0" borderId="56" xfId="0" applyFont="1" applyBorder="1" applyAlignment="1" applyProtection="1">
      <alignment horizontal="center" vertical="center" wrapText="1"/>
      <protection hidden="1"/>
    </xf>
    <xf numFmtId="0" fontId="88" fillId="0" borderId="58" xfId="0" applyFont="1" applyBorder="1" applyAlignment="1" applyProtection="1">
      <alignment horizontal="center" vertical="center" wrapText="1"/>
      <protection hidden="1"/>
    </xf>
    <xf numFmtId="0" fontId="88" fillId="0" borderId="59" xfId="0" applyFont="1" applyBorder="1" applyAlignment="1" applyProtection="1">
      <alignment horizontal="center" vertical="center" wrapText="1"/>
      <protection hidden="1"/>
    </xf>
    <xf numFmtId="0" fontId="88" fillId="0" borderId="62" xfId="0" applyFont="1" applyBorder="1" applyAlignment="1" applyProtection="1">
      <alignment horizontal="center" vertical="center" wrapText="1"/>
      <protection hidden="1"/>
    </xf>
    <xf numFmtId="0" fontId="88" fillId="0" borderId="60" xfId="0" applyFont="1" applyBorder="1" applyAlignment="1" applyProtection="1">
      <alignment horizontal="center" vertical="center" wrapText="1"/>
      <protection hidden="1"/>
    </xf>
    <xf numFmtId="0" fontId="177" fillId="26" borderId="52" xfId="0" applyFont="1" applyFill="1" applyBorder="1" applyAlignment="1">
      <alignment horizontal="center" vertical="top" wrapText="1"/>
    </xf>
    <xf numFmtId="0" fontId="177" fillId="26" borderId="72" xfId="0" applyFont="1" applyFill="1" applyBorder="1" applyAlignment="1">
      <alignment horizontal="center" vertical="top" wrapText="1"/>
    </xf>
    <xf numFmtId="0" fontId="177" fillId="26" borderId="13" xfId="0" applyFont="1" applyFill="1" applyBorder="1" applyAlignment="1">
      <alignment horizontal="center" vertical="top" wrapText="1"/>
    </xf>
    <xf numFmtId="0" fontId="177" fillId="26" borderId="14" xfId="0" applyFont="1" applyFill="1" applyBorder="1" applyAlignment="1">
      <alignment horizontal="center" vertical="top" wrapText="1"/>
    </xf>
    <xf numFmtId="0" fontId="177" fillId="26" borderId="0" xfId="0" applyFont="1" applyFill="1" applyBorder="1" applyAlignment="1">
      <alignment horizontal="center" vertical="top" wrapText="1"/>
    </xf>
    <xf numFmtId="0" fontId="177" fillId="26" borderId="32" xfId="0" applyFont="1" applyFill="1" applyBorder="1" applyAlignment="1">
      <alignment horizontal="center" vertical="top" wrapText="1"/>
    </xf>
    <xf numFmtId="0" fontId="177" fillId="26" borderId="38" xfId="0" applyFont="1" applyFill="1" applyBorder="1" applyAlignment="1">
      <alignment horizontal="center" vertical="top" wrapText="1"/>
    </xf>
    <xf numFmtId="0" fontId="177" fillId="26" borderId="31" xfId="0" applyFont="1" applyFill="1" applyBorder="1" applyAlignment="1">
      <alignment horizontal="center" vertical="top" wrapText="1"/>
    </xf>
    <xf numFmtId="0" fontId="177" fillId="26" borderId="36" xfId="0" applyFont="1" applyFill="1" applyBorder="1" applyAlignment="1">
      <alignment horizontal="center" vertical="top" wrapText="1"/>
    </xf>
    <xf numFmtId="0" fontId="163" fillId="3" borderId="5" xfId="0" applyFont="1" applyFill="1" applyBorder="1" applyAlignment="1" applyProtection="1">
      <alignment horizontal="left" vertical="center"/>
      <protection hidden="1"/>
    </xf>
    <xf numFmtId="0" fontId="163" fillId="3" borderId="48" xfId="0" applyFont="1" applyFill="1" applyBorder="1" applyAlignment="1" applyProtection="1">
      <alignment horizontal="left" vertical="center"/>
      <protection hidden="1"/>
    </xf>
    <xf numFmtId="0" fontId="163" fillId="3" borderId="12" xfId="0" applyFont="1" applyFill="1" applyBorder="1" applyAlignment="1" applyProtection="1">
      <alignment horizontal="left" vertical="center"/>
      <protection hidden="1"/>
    </xf>
    <xf numFmtId="0" fontId="161" fillId="19" borderId="5" xfId="0" applyFont="1" applyFill="1" applyBorder="1" applyAlignment="1" applyProtection="1">
      <alignment horizontal="center" vertical="center" wrapText="1"/>
      <protection hidden="1"/>
    </xf>
    <xf numFmtId="0" fontId="95" fillId="0" borderId="57" xfId="0" applyFont="1" applyBorder="1" applyAlignment="1" applyProtection="1">
      <alignment horizontal="center" vertical="center" wrapText="1"/>
      <protection hidden="1"/>
    </xf>
    <xf numFmtId="0" fontId="95" fillId="0" borderId="58" xfId="0" applyFont="1" applyBorder="1" applyAlignment="1" applyProtection="1">
      <alignment horizontal="center" vertical="center" wrapText="1"/>
      <protection hidden="1"/>
    </xf>
    <xf numFmtId="0" fontId="95" fillId="0" borderId="59" xfId="0" applyFont="1" applyBorder="1" applyAlignment="1" applyProtection="1">
      <alignment horizontal="center" vertical="center" wrapText="1"/>
      <protection hidden="1"/>
    </xf>
    <xf numFmtId="0" fontId="95" fillId="0" borderId="60" xfId="0" applyFont="1" applyBorder="1" applyAlignment="1" applyProtection="1">
      <alignment horizontal="center" vertical="center" wrapText="1"/>
      <protection hidden="1"/>
    </xf>
    <xf numFmtId="0" fontId="22" fillId="0" borderId="48" xfId="0" applyFont="1" applyFill="1" applyBorder="1" applyAlignment="1" applyProtection="1">
      <alignment horizontal="left" vertical="center"/>
      <protection locked="0"/>
    </xf>
    <xf numFmtId="0" fontId="22" fillId="0" borderId="11" xfId="0" applyFont="1" applyFill="1" applyBorder="1" applyAlignment="1" applyProtection="1">
      <alignment horizontal="left" vertical="center"/>
      <protection locked="0"/>
    </xf>
    <xf numFmtId="0" fontId="22" fillId="0" borderId="12" xfId="0" applyFont="1" applyFill="1" applyBorder="1" applyAlignment="1" applyProtection="1">
      <alignment horizontal="left" vertical="center"/>
      <protection locked="0"/>
    </xf>
    <xf numFmtId="49" fontId="22" fillId="0" borderId="48" xfId="0" applyNumberFormat="1" applyFont="1" applyFill="1" applyBorder="1" applyAlignment="1" applyProtection="1">
      <alignment horizontal="left" vertical="center"/>
      <protection locked="0"/>
    </xf>
    <xf numFmtId="49" fontId="22" fillId="0" borderId="11" xfId="0" applyNumberFormat="1" applyFont="1" applyFill="1" applyBorder="1" applyAlignment="1" applyProtection="1">
      <alignment horizontal="left" vertical="center"/>
      <protection locked="0"/>
    </xf>
    <xf numFmtId="49" fontId="22" fillId="0" borderId="12" xfId="0" applyNumberFormat="1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 applyProtection="1">
      <alignment horizontal="left" vertical="center"/>
      <protection hidden="1"/>
    </xf>
    <xf numFmtId="0" fontId="14" fillId="6" borderId="105" xfId="0" applyFont="1" applyFill="1" applyBorder="1" applyAlignment="1" applyProtection="1">
      <alignment horizontal="center" vertical="center"/>
      <protection hidden="1"/>
    </xf>
    <xf numFmtId="0" fontId="193" fillId="0" borderId="39" xfId="0" applyFont="1" applyBorder="1" applyAlignment="1">
      <alignment horizontal="center" vertical="center" wrapText="1"/>
    </xf>
    <xf numFmtId="0" fontId="193" fillId="0" borderId="42" xfId="0" applyFont="1" applyBorder="1" applyAlignment="1">
      <alignment horizontal="center" vertical="center" wrapText="1"/>
    </xf>
    <xf numFmtId="0" fontId="193" fillId="0" borderId="44" xfId="0" applyFont="1" applyBorder="1" applyAlignment="1">
      <alignment horizontal="center" vertical="center" wrapText="1"/>
    </xf>
    <xf numFmtId="0" fontId="49" fillId="5" borderId="105" xfId="0" applyFont="1" applyFill="1" applyBorder="1" applyAlignment="1" applyProtection="1">
      <alignment horizontal="center" vertical="center"/>
      <protection hidden="1"/>
    </xf>
    <xf numFmtId="17" fontId="197" fillId="9" borderId="5" xfId="0" applyNumberFormat="1" applyFont="1" applyFill="1" applyBorder="1" applyAlignment="1" applyProtection="1">
      <alignment horizontal="center" vertical="center" wrapText="1"/>
      <protection hidden="1"/>
    </xf>
    <xf numFmtId="17" fontId="197" fillId="9" borderId="5" xfId="0" applyNumberFormat="1" applyFont="1" applyFill="1" applyBorder="1" applyAlignment="1" applyProtection="1">
      <alignment horizontal="center" vertical="center"/>
      <protection hidden="1"/>
    </xf>
    <xf numFmtId="0" fontId="158" fillId="3" borderId="5" xfId="0" applyFont="1" applyFill="1" applyBorder="1" applyAlignment="1" applyProtection="1">
      <alignment horizontal="center" vertical="center"/>
      <protection locked="0" hidden="1"/>
    </xf>
    <xf numFmtId="0" fontId="49" fillId="5" borderId="105" xfId="0" applyFont="1" applyFill="1" applyBorder="1" applyAlignment="1" applyProtection="1">
      <alignment horizontal="right" vertical="center" wrapText="1"/>
      <protection hidden="1"/>
    </xf>
    <xf numFmtId="0" fontId="14" fillId="7" borderId="105" xfId="0" applyFont="1" applyFill="1" applyBorder="1" applyAlignment="1" applyProtection="1">
      <alignment horizontal="center" vertical="center"/>
      <protection hidden="1"/>
    </xf>
    <xf numFmtId="0" fontId="108" fillId="4" borderId="105" xfId="0" applyFont="1" applyFill="1" applyBorder="1" applyAlignment="1" applyProtection="1">
      <alignment horizontal="center" vertical="center" wrapText="1"/>
      <protection hidden="1"/>
    </xf>
    <xf numFmtId="0" fontId="14" fillId="7" borderId="105" xfId="0" applyFont="1" applyFill="1" applyBorder="1" applyAlignment="1" applyProtection="1">
      <alignment horizontal="right" vertical="center"/>
      <protection hidden="1"/>
    </xf>
    <xf numFmtId="0" fontId="66" fillId="4" borderId="105" xfId="0" applyFont="1" applyFill="1" applyBorder="1" applyAlignment="1" applyProtection="1">
      <alignment horizontal="center" vertical="center" wrapText="1"/>
      <protection hidden="1"/>
    </xf>
    <xf numFmtId="0" fontId="174" fillId="13" borderId="31" xfId="0" applyFont="1" applyFill="1" applyBorder="1" applyAlignment="1">
      <alignment horizontal="center" vertical="top"/>
    </xf>
    <xf numFmtId="0" fontId="198" fillId="3" borderId="5" xfId="0" applyFont="1" applyFill="1" applyBorder="1" applyAlignment="1" applyProtection="1">
      <alignment horizontal="center" vertical="center" wrapText="1"/>
      <protection hidden="1"/>
    </xf>
    <xf numFmtId="0" fontId="159" fillId="9" borderId="5" xfId="0" applyFont="1" applyFill="1" applyBorder="1" applyAlignment="1" applyProtection="1">
      <alignment horizontal="center" vertical="center"/>
      <protection locked="0" hidden="1"/>
    </xf>
    <xf numFmtId="0" fontId="14" fillId="6" borderId="105" xfId="0" applyFont="1" applyFill="1" applyBorder="1" applyAlignment="1" applyProtection="1">
      <alignment horizontal="right" vertical="center" wrapText="1"/>
      <protection hidden="1"/>
    </xf>
    <xf numFmtId="0" fontId="183" fillId="0" borderId="72" xfId="0" applyFont="1" applyFill="1" applyBorder="1" applyAlignment="1">
      <alignment horizontal="center" vertical="center"/>
    </xf>
    <xf numFmtId="0" fontId="183" fillId="0" borderId="0" xfId="0" applyFont="1" applyFill="1" applyBorder="1" applyAlignment="1">
      <alignment horizontal="center" vertical="center"/>
    </xf>
    <xf numFmtId="0" fontId="93" fillId="25" borderId="5" xfId="0" applyFont="1" applyFill="1" applyBorder="1" applyAlignment="1" applyProtection="1">
      <alignment horizontal="center" vertical="center"/>
    </xf>
    <xf numFmtId="0" fontId="72" fillId="3" borderId="157" xfId="0" applyFont="1" applyFill="1" applyBorder="1" applyAlignment="1">
      <alignment horizontal="left" wrapText="1"/>
    </xf>
    <xf numFmtId="0" fontId="72" fillId="3" borderId="0" xfId="0" applyFont="1" applyFill="1" applyBorder="1" applyAlignment="1">
      <alignment horizontal="left" wrapText="1"/>
    </xf>
    <xf numFmtId="0" fontId="72" fillId="3" borderId="158" xfId="0" applyFont="1" applyFill="1" applyBorder="1" applyAlignment="1">
      <alignment horizontal="left" wrapText="1"/>
    </xf>
    <xf numFmtId="0" fontId="72" fillId="3" borderId="157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left"/>
    </xf>
    <xf numFmtId="0" fontId="72" fillId="3" borderId="158" xfId="0" applyFont="1" applyFill="1" applyBorder="1" applyAlignment="1">
      <alignment horizontal="left"/>
    </xf>
    <xf numFmtId="0" fontId="72" fillId="3" borderId="157" xfId="0" applyFont="1" applyFill="1" applyBorder="1" applyAlignment="1">
      <alignment horizontal="left" vertical="center" wrapText="1"/>
    </xf>
    <xf numFmtId="0" fontId="72" fillId="3" borderId="0" xfId="0" applyFont="1" applyFill="1" applyBorder="1" applyAlignment="1">
      <alignment horizontal="left" vertical="center" wrapText="1"/>
    </xf>
    <xf numFmtId="0" fontId="72" fillId="3" borderId="158" xfId="0" applyFont="1" applyFill="1" applyBorder="1" applyAlignment="1">
      <alignment horizontal="left" vertical="center" wrapText="1"/>
    </xf>
    <xf numFmtId="0" fontId="72" fillId="3" borderId="159" xfId="0" applyFont="1" applyFill="1" applyBorder="1" applyAlignment="1">
      <alignment horizontal="left" vertical="center" wrapText="1"/>
    </xf>
    <xf numFmtId="0" fontId="72" fillId="3" borderId="160" xfId="0" applyFont="1" applyFill="1" applyBorder="1" applyAlignment="1">
      <alignment horizontal="left" vertical="center" wrapText="1"/>
    </xf>
    <xf numFmtId="0" fontId="72" fillId="3" borderId="161" xfId="0" applyFont="1" applyFill="1" applyBorder="1" applyAlignment="1">
      <alignment horizontal="left" vertical="center" wrapText="1"/>
    </xf>
    <xf numFmtId="0" fontId="14" fillId="8" borderId="105" xfId="0" applyFont="1" applyFill="1" applyBorder="1" applyAlignment="1" applyProtection="1">
      <alignment horizontal="center" vertical="center"/>
      <protection hidden="1"/>
    </xf>
    <xf numFmtId="0" fontId="14" fillId="8" borderId="105" xfId="0" applyFont="1" applyFill="1" applyBorder="1" applyAlignment="1" applyProtection="1">
      <alignment horizontal="right" vertical="center" wrapText="1"/>
      <protection hidden="1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172" fillId="2" borderId="157" xfId="0" applyFont="1" applyFill="1" applyBorder="1" applyAlignment="1" applyProtection="1">
      <alignment horizontal="left" vertical="center" wrapText="1"/>
      <protection hidden="1"/>
    </xf>
    <xf numFmtId="0" fontId="172" fillId="2" borderId="0" xfId="0" applyFont="1" applyFill="1" applyBorder="1" applyAlignment="1" applyProtection="1">
      <alignment horizontal="left" vertical="center" wrapText="1"/>
      <protection hidden="1"/>
    </xf>
    <xf numFmtId="0" fontId="172" fillId="2" borderId="158" xfId="0" applyFont="1" applyFill="1" applyBorder="1" applyAlignment="1" applyProtection="1">
      <alignment horizontal="left" vertical="center" wrapText="1"/>
      <protection hidden="1"/>
    </xf>
    <xf numFmtId="0" fontId="177" fillId="18" borderId="154" xfId="0" applyFont="1" applyFill="1" applyBorder="1" applyAlignment="1" applyProtection="1">
      <alignment horizontal="left" vertical="center" wrapText="1"/>
      <protection hidden="1"/>
    </xf>
    <xf numFmtId="0" fontId="177" fillId="18" borderId="155" xfId="0" applyFont="1" applyFill="1" applyBorder="1" applyAlignment="1" applyProtection="1">
      <alignment horizontal="left" vertical="center" wrapText="1"/>
      <protection hidden="1"/>
    </xf>
    <xf numFmtId="0" fontId="177" fillId="18" borderId="156" xfId="0" applyFont="1" applyFill="1" applyBorder="1" applyAlignment="1" applyProtection="1">
      <alignment horizontal="left" vertical="center" wrapText="1"/>
      <protection hidden="1"/>
    </xf>
    <xf numFmtId="0" fontId="177" fillId="18" borderId="157" xfId="0" applyFont="1" applyFill="1" applyBorder="1" applyAlignment="1" applyProtection="1">
      <alignment horizontal="left" vertical="center" wrapText="1"/>
      <protection hidden="1"/>
    </xf>
    <xf numFmtId="0" fontId="177" fillId="18" borderId="0" xfId="0" applyFont="1" applyFill="1" applyBorder="1" applyAlignment="1" applyProtection="1">
      <alignment horizontal="left" vertical="center" wrapText="1"/>
      <protection hidden="1"/>
    </xf>
    <xf numFmtId="0" fontId="177" fillId="18" borderId="158" xfId="0" applyFont="1" applyFill="1" applyBorder="1" applyAlignment="1" applyProtection="1">
      <alignment horizontal="left" vertical="center" wrapText="1"/>
      <protection hidden="1"/>
    </xf>
    <xf numFmtId="0" fontId="173" fillId="0" borderId="40" xfId="0" applyFont="1" applyBorder="1" applyAlignment="1">
      <alignment horizontal="left" vertical="center" wrapText="1"/>
    </xf>
    <xf numFmtId="0" fontId="173" fillId="0" borderId="41" xfId="0" applyFont="1" applyBorder="1" applyAlignment="1">
      <alignment horizontal="left" vertical="center" wrapText="1"/>
    </xf>
    <xf numFmtId="0" fontId="173" fillId="0" borderId="0" xfId="0" applyFont="1" applyBorder="1" applyAlignment="1">
      <alignment horizontal="left" vertical="center" wrapText="1"/>
    </xf>
    <xf numFmtId="0" fontId="173" fillId="0" borderId="43" xfId="0" applyFont="1" applyBorder="1" applyAlignment="1">
      <alignment horizontal="left" vertical="center" wrapText="1"/>
    </xf>
    <xf numFmtId="0" fontId="173" fillId="0" borderId="45" xfId="0" applyFont="1" applyBorder="1" applyAlignment="1">
      <alignment horizontal="left" vertical="center" wrapText="1"/>
    </xf>
    <xf numFmtId="0" fontId="173" fillId="0" borderId="46" xfId="0" applyFont="1" applyBorder="1" applyAlignment="1">
      <alignment horizontal="left" vertical="center" wrapText="1"/>
    </xf>
    <xf numFmtId="0" fontId="165" fillId="0" borderId="67" xfId="0" applyFont="1" applyBorder="1" applyAlignment="1" applyProtection="1">
      <alignment horizontal="left" vertical="center" wrapText="1"/>
      <protection hidden="1"/>
    </xf>
    <xf numFmtId="0" fontId="165" fillId="0" borderId="0" xfId="0" applyFont="1" applyBorder="1" applyAlignment="1" applyProtection="1">
      <alignment horizontal="left" vertical="center" wrapText="1"/>
      <protection hidden="1"/>
    </xf>
    <xf numFmtId="0" fontId="165" fillId="0" borderId="68" xfId="0" applyFont="1" applyBorder="1" applyAlignment="1" applyProtection="1">
      <alignment horizontal="left" vertical="center" wrapText="1"/>
      <protection hidden="1"/>
    </xf>
    <xf numFmtId="0" fontId="165" fillId="0" borderId="69" xfId="0" applyFont="1" applyBorder="1" applyAlignment="1" applyProtection="1">
      <alignment horizontal="left" vertical="center" wrapText="1"/>
      <protection hidden="1"/>
    </xf>
    <xf numFmtId="0" fontId="165" fillId="0" borderId="70" xfId="0" applyFont="1" applyBorder="1" applyAlignment="1" applyProtection="1">
      <alignment horizontal="left" vertical="center" wrapText="1"/>
      <protection hidden="1"/>
    </xf>
    <xf numFmtId="0" fontId="165" fillId="0" borderId="71" xfId="0" applyFont="1" applyBorder="1" applyAlignment="1" applyProtection="1">
      <alignment horizontal="left" vertical="center" wrapText="1"/>
      <protection hidden="1"/>
    </xf>
    <xf numFmtId="0" fontId="164" fillId="0" borderId="64" xfId="0" applyFont="1" applyBorder="1" applyAlignment="1" applyProtection="1">
      <alignment horizontal="center" vertical="center"/>
      <protection hidden="1"/>
    </xf>
    <xf numFmtId="0" fontId="164" fillId="0" borderId="65" xfId="0" applyFont="1" applyBorder="1" applyAlignment="1" applyProtection="1">
      <alignment horizontal="center" vertical="center"/>
      <protection hidden="1"/>
    </xf>
    <xf numFmtId="0" fontId="164" fillId="0" borderId="66" xfId="0" applyFont="1" applyBorder="1" applyAlignment="1" applyProtection="1">
      <alignment horizontal="center" vertical="center"/>
      <protection hidden="1"/>
    </xf>
    <xf numFmtId="0" fontId="180" fillId="0" borderId="0" xfId="0" applyFont="1" applyFill="1" applyBorder="1" applyAlignment="1">
      <alignment horizontal="left" vertical="top"/>
    </xf>
    <xf numFmtId="1" fontId="12" fillId="2" borderId="5" xfId="0" applyNumberFormat="1" applyFont="1" applyFill="1" applyBorder="1" applyAlignment="1" applyProtection="1">
      <alignment horizontal="right" vertical="center"/>
    </xf>
    <xf numFmtId="1" fontId="12" fillId="3" borderId="5" xfId="0" applyNumberFormat="1" applyFont="1" applyFill="1" applyBorder="1" applyAlignment="1" applyProtection="1">
      <alignment horizontal="right" vertical="center"/>
    </xf>
    <xf numFmtId="0" fontId="174" fillId="0" borderId="72" xfId="0" applyFont="1" applyFill="1" applyBorder="1" applyAlignment="1">
      <alignment horizontal="center" vertical="top"/>
    </xf>
    <xf numFmtId="0" fontId="174" fillId="0" borderId="0" xfId="0" applyFont="1" applyFill="1" applyBorder="1" applyAlignment="1">
      <alignment horizontal="center" vertical="top"/>
    </xf>
    <xf numFmtId="0" fontId="172" fillId="0" borderId="0" xfId="0" applyFont="1" applyBorder="1" applyAlignment="1">
      <alignment horizontal="center" vertical="center" wrapText="1"/>
    </xf>
    <xf numFmtId="0" fontId="204" fillId="2" borderId="154" xfId="0" applyFont="1" applyFill="1" applyBorder="1" applyAlignment="1" applyProtection="1">
      <alignment horizontal="center" vertical="center" wrapText="1"/>
      <protection hidden="1"/>
    </xf>
    <xf numFmtId="0" fontId="204" fillId="2" borderId="155" xfId="0" applyFont="1" applyFill="1" applyBorder="1" applyAlignment="1" applyProtection="1">
      <alignment horizontal="center" vertical="center"/>
      <protection hidden="1"/>
    </xf>
    <xf numFmtId="0" fontId="204" fillId="2" borderId="156" xfId="0" applyFont="1" applyFill="1" applyBorder="1" applyAlignment="1" applyProtection="1">
      <alignment horizontal="center" vertical="center"/>
      <protection hidden="1"/>
    </xf>
    <xf numFmtId="0" fontId="204" fillId="2" borderId="157" xfId="0" applyFont="1" applyFill="1" applyBorder="1" applyAlignment="1" applyProtection="1">
      <alignment horizontal="center" vertical="center"/>
      <protection hidden="1"/>
    </xf>
    <xf numFmtId="0" fontId="204" fillId="2" borderId="0" xfId="0" applyFont="1" applyFill="1" applyBorder="1" applyAlignment="1" applyProtection="1">
      <alignment horizontal="center" vertical="center"/>
      <protection hidden="1"/>
    </xf>
    <xf numFmtId="0" fontId="204" fillId="2" borderId="158" xfId="0" applyFont="1" applyFill="1" applyBorder="1" applyAlignment="1" applyProtection="1">
      <alignment horizontal="center" vertical="center"/>
      <protection hidden="1"/>
    </xf>
    <xf numFmtId="0" fontId="204" fillId="2" borderId="159" xfId="0" applyFont="1" applyFill="1" applyBorder="1" applyAlignment="1" applyProtection="1">
      <alignment horizontal="center" vertical="center"/>
      <protection hidden="1"/>
    </xf>
    <xf numFmtId="0" fontId="204" fillId="2" borderId="160" xfId="0" applyFont="1" applyFill="1" applyBorder="1" applyAlignment="1" applyProtection="1">
      <alignment horizontal="center" vertical="center"/>
      <protection hidden="1"/>
    </xf>
    <xf numFmtId="0" fontId="204" fillId="2" borderId="161" xfId="0" applyFont="1" applyFill="1" applyBorder="1" applyAlignment="1" applyProtection="1">
      <alignment horizontal="center" vertical="center"/>
      <protection hidden="1"/>
    </xf>
    <xf numFmtId="1" fontId="184" fillId="23" borderId="52" xfId="0" applyNumberFormat="1" applyFont="1" applyFill="1" applyBorder="1" applyAlignment="1" applyProtection="1">
      <alignment horizontal="left" vertical="top" wrapText="1"/>
    </xf>
    <xf numFmtId="1" fontId="184" fillId="23" borderId="13" xfId="0" applyNumberFormat="1" applyFont="1" applyFill="1" applyBorder="1" applyAlignment="1" applyProtection="1">
      <alignment horizontal="left" vertical="top" wrapText="1"/>
    </xf>
    <xf numFmtId="1" fontId="184" fillId="23" borderId="14" xfId="0" applyNumberFormat="1" applyFont="1" applyFill="1" applyBorder="1" applyAlignment="1" applyProtection="1">
      <alignment horizontal="left" vertical="top" wrapText="1"/>
    </xf>
    <xf numFmtId="1" fontId="184" fillId="23" borderId="32" xfId="0" applyNumberFormat="1" applyFont="1" applyFill="1" applyBorder="1" applyAlignment="1" applyProtection="1">
      <alignment horizontal="left" vertical="top" wrapText="1"/>
    </xf>
    <xf numFmtId="1" fontId="184" fillId="23" borderId="38" xfId="0" applyNumberFormat="1" applyFont="1" applyFill="1" applyBorder="1" applyAlignment="1" applyProtection="1">
      <alignment horizontal="left" vertical="top" wrapText="1"/>
    </xf>
    <xf numFmtId="1" fontId="184" fillId="23" borderId="36" xfId="0" applyNumberFormat="1" applyFont="1" applyFill="1" applyBorder="1" applyAlignment="1" applyProtection="1">
      <alignment horizontal="left" vertical="top" wrapText="1"/>
    </xf>
    <xf numFmtId="0" fontId="203" fillId="0" borderId="14" xfId="0" applyFont="1" applyFill="1" applyBorder="1" applyAlignment="1">
      <alignment horizontal="center" vertical="top" wrapText="1"/>
    </xf>
    <xf numFmtId="0" fontId="203" fillId="0" borderId="0" xfId="0" applyFont="1" applyFill="1" applyBorder="1" applyAlignment="1">
      <alignment horizontal="center" vertical="top" wrapText="1"/>
    </xf>
    <xf numFmtId="0" fontId="203" fillId="0" borderId="32" xfId="0" applyFont="1" applyFill="1" applyBorder="1" applyAlignment="1">
      <alignment horizontal="center" vertical="top" wrapText="1"/>
    </xf>
    <xf numFmtId="0" fontId="203" fillId="0" borderId="38" xfId="0" applyFont="1" applyFill="1" applyBorder="1" applyAlignment="1">
      <alignment horizontal="center" vertical="top" wrapText="1"/>
    </xf>
    <xf numFmtId="0" fontId="203" fillId="0" borderId="31" xfId="0" applyFont="1" applyFill="1" applyBorder="1" applyAlignment="1">
      <alignment horizontal="center" vertical="top" wrapText="1"/>
    </xf>
    <xf numFmtId="0" fontId="203" fillId="0" borderId="36" xfId="0" applyFont="1" applyFill="1" applyBorder="1" applyAlignment="1">
      <alignment horizontal="center" vertical="top" wrapText="1"/>
    </xf>
    <xf numFmtId="0" fontId="175" fillId="0" borderId="52" xfId="0" applyFont="1" applyFill="1" applyBorder="1" applyAlignment="1">
      <alignment horizontal="center" vertical="top" wrapText="1"/>
    </xf>
    <xf numFmtId="0" fontId="175" fillId="0" borderId="72" xfId="0" applyFont="1" applyFill="1" applyBorder="1" applyAlignment="1">
      <alignment horizontal="center" vertical="top" wrapText="1"/>
    </xf>
    <xf numFmtId="0" fontId="175" fillId="0" borderId="13" xfId="0" applyFont="1" applyFill="1" applyBorder="1" applyAlignment="1">
      <alignment horizontal="center" vertical="top" wrapText="1"/>
    </xf>
    <xf numFmtId="0" fontId="175" fillId="0" borderId="14" xfId="0" applyFont="1" applyFill="1" applyBorder="1" applyAlignment="1">
      <alignment horizontal="center" vertical="top" wrapText="1"/>
    </xf>
    <xf numFmtId="0" fontId="175" fillId="0" borderId="0" xfId="0" applyFont="1" applyFill="1" applyBorder="1" applyAlignment="1">
      <alignment horizontal="center" vertical="top" wrapText="1"/>
    </xf>
    <xf numFmtId="0" fontId="175" fillId="0" borderId="32" xfId="0" applyFont="1" applyFill="1" applyBorder="1" applyAlignment="1">
      <alignment horizontal="center" vertical="top" wrapText="1"/>
    </xf>
    <xf numFmtId="0" fontId="181" fillId="0" borderId="36" xfId="0" applyFont="1" applyFill="1" applyBorder="1" applyAlignment="1">
      <alignment horizontal="center" vertical="center" wrapText="1"/>
    </xf>
    <xf numFmtId="0" fontId="181" fillId="0" borderId="10" xfId="0" applyFont="1" applyFill="1" applyBorder="1" applyAlignment="1">
      <alignment horizontal="center" vertical="center" wrapText="1"/>
    </xf>
    <xf numFmtId="0" fontId="181" fillId="0" borderId="38" xfId="0" applyFont="1" applyFill="1" applyBorder="1" applyAlignment="1">
      <alignment horizontal="center" vertical="center" wrapText="1"/>
    </xf>
    <xf numFmtId="0" fontId="181" fillId="0" borderId="12" xfId="0" applyFont="1" applyFill="1" applyBorder="1" applyAlignment="1">
      <alignment horizontal="center" vertical="center" wrapText="1"/>
    </xf>
    <xf numFmtId="0" fontId="181" fillId="0" borderId="5" xfId="0" applyFont="1" applyFill="1" applyBorder="1" applyAlignment="1">
      <alignment horizontal="center" vertical="center" wrapText="1"/>
    </xf>
    <xf numFmtId="0" fontId="181" fillId="0" borderId="48" xfId="0" applyFont="1" applyFill="1" applyBorder="1" applyAlignment="1">
      <alignment horizontal="center" vertical="center" wrapText="1"/>
    </xf>
    <xf numFmtId="0" fontId="69" fillId="3" borderId="5" xfId="0" applyFont="1" applyFill="1" applyBorder="1" applyAlignment="1" applyProtection="1">
      <alignment horizontal="center" vertical="center"/>
    </xf>
    <xf numFmtId="0" fontId="162" fillId="18" borderId="5" xfId="0" applyFont="1" applyFill="1" applyBorder="1" applyAlignment="1" applyProtection="1">
      <alignment horizontal="center" vertical="center"/>
    </xf>
    <xf numFmtId="0" fontId="83" fillId="0" borderId="0" xfId="2" applyFont="1" applyBorder="1" applyAlignment="1" applyProtection="1">
      <alignment horizontal="center" vertical="center"/>
      <protection hidden="1"/>
    </xf>
    <xf numFmtId="1" fontId="19" fillId="0" borderId="136" xfId="2" applyNumberFormat="1" applyFont="1" applyBorder="1" applyAlignment="1" applyProtection="1">
      <alignment horizontal="center"/>
      <protection hidden="1"/>
    </xf>
    <xf numFmtId="0" fontId="157" fillId="0" borderId="40" xfId="2" applyNumberFormat="1" applyFont="1" applyBorder="1" applyAlignment="1" applyProtection="1">
      <alignment horizontal="center" vertical="center"/>
      <protection hidden="1"/>
    </xf>
    <xf numFmtId="0" fontId="157" fillId="0" borderId="41" xfId="2" applyNumberFormat="1" applyFont="1" applyBorder="1" applyAlignment="1" applyProtection="1">
      <alignment horizontal="center" vertical="center"/>
      <protection hidden="1"/>
    </xf>
    <xf numFmtId="0" fontId="71" fillId="0" borderId="48" xfId="2" applyFont="1" applyBorder="1" applyAlignment="1" applyProtection="1">
      <alignment horizontal="center"/>
      <protection hidden="1"/>
    </xf>
    <xf numFmtId="0" fontId="71" fillId="0" borderId="78" xfId="2" applyFont="1" applyBorder="1" applyAlignment="1" applyProtection="1">
      <alignment horizontal="center"/>
      <protection hidden="1"/>
    </xf>
    <xf numFmtId="0" fontId="11" fillId="0" borderId="52" xfId="2" applyFont="1" applyBorder="1" applyAlignment="1" applyProtection="1">
      <alignment horizontal="center"/>
      <protection hidden="1"/>
    </xf>
    <xf numFmtId="0" fontId="11" fillId="0" borderId="119" xfId="2" applyFont="1" applyBorder="1" applyAlignment="1" applyProtection="1">
      <alignment horizontal="center"/>
      <protection hidden="1"/>
    </xf>
    <xf numFmtId="0" fontId="4" fillId="0" borderId="48" xfId="2" applyFont="1" applyBorder="1" applyAlignment="1" applyProtection="1">
      <alignment horizontal="center"/>
      <protection hidden="1"/>
    </xf>
    <xf numFmtId="0" fontId="4" fillId="0" borderId="78" xfId="2" applyFont="1" applyBorder="1" applyAlignment="1" applyProtection="1">
      <alignment horizontal="center"/>
      <protection hidden="1"/>
    </xf>
    <xf numFmtId="1" fontId="71" fillId="0" borderId="48" xfId="2" applyNumberFormat="1" applyFont="1" applyBorder="1" applyAlignment="1" applyProtection="1">
      <alignment horizontal="center"/>
      <protection hidden="1"/>
    </xf>
    <xf numFmtId="0" fontId="9" fillId="0" borderId="48" xfId="2" applyFont="1" applyBorder="1" applyAlignment="1" applyProtection="1">
      <alignment horizontal="center"/>
      <protection hidden="1"/>
    </xf>
    <xf numFmtId="0" fontId="9" fillId="0" borderId="78" xfId="2" applyFont="1" applyBorder="1" applyAlignment="1" applyProtection="1">
      <alignment horizontal="center"/>
      <protection hidden="1"/>
    </xf>
    <xf numFmtId="0" fontId="73" fillId="0" borderId="48" xfId="2" applyFont="1" applyBorder="1" applyAlignment="1" applyProtection="1">
      <alignment horizontal="center"/>
      <protection hidden="1"/>
    </xf>
    <xf numFmtId="0" fontId="73" fillId="0" borderId="78" xfId="2" applyFont="1" applyBorder="1" applyAlignment="1" applyProtection="1">
      <alignment horizontal="center"/>
      <protection hidden="1"/>
    </xf>
    <xf numFmtId="0" fontId="157" fillId="0" borderId="9" xfId="2" applyFont="1" applyBorder="1" applyAlignment="1" applyProtection="1">
      <alignment horizontal="center" vertical="center"/>
      <protection hidden="1"/>
    </xf>
    <xf numFmtId="0" fontId="157" fillId="0" borderId="109" xfId="2" applyFont="1" applyBorder="1" applyAlignment="1" applyProtection="1">
      <alignment horizontal="center" vertical="center"/>
      <protection hidden="1"/>
    </xf>
    <xf numFmtId="1" fontId="4" fillId="0" borderId="77" xfId="2" applyNumberFormat="1" applyFont="1" applyBorder="1" applyAlignment="1" applyProtection="1">
      <alignment horizontal="center" vertical="center"/>
      <protection hidden="1"/>
    </xf>
    <xf numFmtId="1" fontId="4" fillId="0" borderId="12" xfId="2" applyNumberFormat="1" applyFont="1" applyBorder="1" applyAlignment="1" applyProtection="1">
      <alignment horizontal="center" vertical="center"/>
      <protection hidden="1"/>
    </xf>
    <xf numFmtId="1" fontId="12" fillId="0" borderId="77" xfId="2" applyNumberFormat="1" applyFont="1" applyBorder="1" applyAlignment="1" applyProtection="1">
      <alignment horizontal="center" vertical="center"/>
      <protection hidden="1"/>
    </xf>
    <xf numFmtId="1" fontId="12" fillId="0" borderId="12" xfId="2" applyNumberFormat="1" applyFont="1" applyBorder="1" applyAlignment="1" applyProtection="1">
      <alignment horizontal="center" vertical="center"/>
      <protection hidden="1"/>
    </xf>
    <xf numFmtId="0" fontId="11" fillId="0" borderId="44" xfId="1" applyFont="1" applyBorder="1" applyAlignment="1" applyProtection="1">
      <alignment horizontal="center"/>
      <protection hidden="1"/>
    </xf>
    <xf numFmtId="0" fontId="11" fillId="0" borderId="45" xfId="1" applyFont="1" applyBorder="1" applyAlignment="1" applyProtection="1">
      <alignment horizontal="center"/>
      <protection hidden="1"/>
    </xf>
    <xf numFmtId="0" fontId="11" fillId="0" borderId="45" xfId="1" applyFont="1" applyBorder="1" applyAlignment="1" applyProtection="1">
      <alignment horizontal="center" wrapText="1"/>
      <protection hidden="1"/>
    </xf>
    <xf numFmtId="0" fontId="11" fillId="0" borderId="46" xfId="1" applyFont="1" applyBorder="1" applyAlignment="1" applyProtection="1">
      <alignment horizontal="center" wrapText="1"/>
      <protection hidden="1"/>
    </xf>
    <xf numFmtId="0" fontId="11" fillId="0" borderId="19" xfId="1" applyFont="1" applyFill="1" applyBorder="1" applyAlignment="1" applyProtection="1">
      <alignment horizontal="left" vertical="center"/>
      <protection hidden="1"/>
    </xf>
    <xf numFmtId="0" fontId="11" fillId="0" borderId="20" xfId="1" applyFont="1" applyFill="1" applyBorder="1" applyAlignment="1" applyProtection="1">
      <alignment horizontal="left" vertical="center"/>
      <protection hidden="1"/>
    </xf>
    <xf numFmtId="3" fontId="32" fillId="0" borderId="23" xfId="1" applyNumberFormat="1" applyFont="1" applyFill="1" applyBorder="1" applyAlignment="1" applyProtection="1">
      <alignment horizontal="center" vertical="center"/>
      <protection hidden="1"/>
    </xf>
    <xf numFmtId="3" fontId="32" fillId="0" borderId="19" xfId="1" applyNumberFormat="1" applyFont="1" applyFill="1" applyBorder="1" applyAlignment="1" applyProtection="1">
      <alignment horizontal="center" vertical="center"/>
      <protection hidden="1"/>
    </xf>
    <xf numFmtId="0" fontId="30" fillId="0" borderId="21" xfId="1" applyFont="1" applyFill="1" applyBorder="1" applyAlignment="1" applyProtection="1">
      <alignment horizontal="left" vertical="center"/>
      <protection hidden="1"/>
    </xf>
    <xf numFmtId="0" fontId="9" fillId="0" borderId="21" xfId="1" applyFont="1" applyFill="1" applyBorder="1" applyAlignment="1" applyProtection="1">
      <alignment horizontal="center"/>
      <protection hidden="1"/>
    </xf>
    <xf numFmtId="0" fontId="9" fillId="0" borderId="23" xfId="1" applyFont="1" applyFill="1" applyBorder="1" applyAlignment="1" applyProtection="1">
      <alignment horizontal="center"/>
      <protection hidden="1"/>
    </xf>
    <xf numFmtId="0" fontId="11" fillId="0" borderId="28" xfId="1" applyFont="1" applyFill="1" applyBorder="1" applyAlignment="1" applyProtection="1">
      <alignment horizontal="left"/>
      <protection hidden="1"/>
    </xf>
    <xf numFmtId="0" fontId="11" fillId="0" borderId="29" xfId="1" applyFont="1" applyFill="1" applyBorder="1" applyAlignment="1" applyProtection="1">
      <alignment horizontal="left"/>
      <protection hidden="1"/>
    </xf>
    <xf numFmtId="0" fontId="33" fillId="0" borderId="110" xfId="1" applyFont="1" applyFill="1" applyBorder="1" applyAlignment="1" applyProtection="1">
      <alignment horizontal="center" vertical="center"/>
      <protection hidden="1"/>
    </xf>
    <xf numFmtId="0" fontId="33" fillId="0" borderId="8" xfId="1" applyFont="1" applyFill="1" applyBorder="1" applyAlignment="1" applyProtection="1">
      <alignment horizontal="center" vertical="center"/>
      <protection hidden="1"/>
    </xf>
    <xf numFmtId="0" fontId="33" fillId="0" borderId="111" xfId="1" applyFont="1" applyFill="1" applyBorder="1" applyAlignment="1" applyProtection="1">
      <alignment horizontal="center" vertical="center"/>
      <protection hidden="1"/>
    </xf>
    <xf numFmtId="0" fontId="26" fillId="0" borderId="19" xfId="1" applyFont="1" applyFill="1" applyBorder="1" applyAlignment="1" applyProtection="1">
      <alignment horizontal="left" vertical="center"/>
      <protection hidden="1"/>
    </xf>
    <xf numFmtId="0" fontId="26" fillId="0" borderId="20" xfId="1" applyFont="1" applyFill="1" applyBorder="1" applyAlignment="1" applyProtection="1">
      <alignment horizontal="left" vertical="center"/>
      <protection hidden="1"/>
    </xf>
    <xf numFmtId="0" fontId="17" fillId="0" borderId="23" xfId="1" applyFont="1" applyFill="1" applyBorder="1" applyAlignment="1" applyProtection="1">
      <alignment horizontal="center" vertical="center"/>
      <protection hidden="1"/>
    </xf>
    <xf numFmtId="0" fontId="17" fillId="0" borderId="19" xfId="1" applyFont="1" applyFill="1" applyBorder="1" applyAlignment="1" applyProtection="1">
      <alignment horizontal="center" vertical="center"/>
      <protection hidden="1"/>
    </xf>
    <xf numFmtId="0" fontId="26" fillId="0" borderId="18" xfId="1" applyFont="1" applyFill="1" applyBorder="1" applyAlignment="1" applyProtection="1">
      <alignment horizontal="left" vertical="center"/>
      <protection hidden="1"/>
    </xf>
    <xf numFmtId="0" fontId="4" fillId="0" borderId="23" xfId="1" applyFont="1" applyFill="1" applyBorder="1" applyAlignment="1" applyProtection="1">
      <alignment horizontal="center" vertical="center"/>
      <protection hidden="1"/>
    </xf>
    <xf numFmtId="0" fontId="4" fillId="0" borderId="19" xfId="1" applyFont="1" applyFill="1" applyBorder="1" applyAlignment="1" applyProtection="1">
      <alignment horizontal="center" vertical="center"/>
      <protection hidden="1"/>
    </xf>
    <xf numFmtId="0" fontId="26" fillId="0" borderId="16" xfId="1" applyFont="1" applyFill="1" applyBorder="1" applyAlignment="1" applyProtection="1">
      <alignment horizontal="left" vertical="center"/>
      <protection hidden="1"/>
    </xf>
    <xf numFmtId="0" fontId="30" fillId="0" borderId="23" xfId="1" applyFont="1" applyFill="1" applyBorder="1" applyAlignment="1" applyProtection="1">
      <alignment horizontal="center" vertical="center"/>
      <protection hidden="1"/>
    </xf>
    <xf numFmtId="0" fontId="30" fillId="0" borderId="19" xfId="1" applyFont="1" applyFill="1" applyBorder="1" applyAlignment="1" applyProtection="1">
      <alignment horizontal="center" vertical="center"/>
      <protection hidden="1"/>
    </xf>
    <xf numFmtId="0" fontId="9" fillId="0" borderId="19" xfId="1" applyFont="1" applyFill="1" applyBorder="1" applyAlignment="1" applyProtection="1">
      <alignment horizontal="left" vertical="center"/>
      <protection hidden="1"/>
    </xf>
    <xf numFmtId="0" fontId="11" fillId="0" borderId="23" xfId="1" applyFont="1" applyFill="1" applyBorder="1" applyAlignment="1" applyProtection="1">
      <alignment horizontal="center" vertical="center"/>
      <protection hidden="1"/>
    </xf>
    <xf numFmtId="0" fontId="11" fillId="0" borderId="19" xfId="1" applyFont="1" applyFill="1" applyBorder="1" applyAlignment="1" applyProtection="1">
      <alignment horizontal="center" vertical="center"/>
      <protection hidden="1"/>
    </xf>
    <xf numFmtId="0" fontId="11" fillId="0" borderId="18" xfId="1" applyFont="1" applyFill="1" applyBorder="1" applyAlignment="1" applyProtection="1">
      <alignment horizontal="left" vertical="center"/>
      <protection hidden="1"/>
    </xf>
    <xf numFmtId="0" fontId="29" fillId="0" borderId="23" xfId="1" applyFont="1" applyFill="1" applyBorder="1" applyAlignment="1" applyProtection="1">
      <alignment horizontal="center" vertical="center"/>
      <protection hidden="1"/>
    </xf>
    <xf numFmtId="0" fontId="29" fillId="0" borderId="19" xfId="1" applyFont="1" applyFill="1" applyBorder="1" applyAlignment="1" applyProtection="1">
      <alignment horizontal="center" vertical="center"/>
      <protection hidden="1"/>
    </xf>
    <xf numFmtId="0" fontId="29" fillId="0" borderId="26" xfId="1" applyFont="1" applyFill="1" applyBorder="1" applyAlignment="1" applyProtection="1">
      <alignment horizontal="center" vertical="center"/>
      <protection hidden="1"/>
    </xf>
    <xf numFmtId="0" fontId="29" fillId="0" borderId="27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11" fillId="0" borderId="16" xfId="1" applyFont="1" applyFill="1" applyBorder="1" applyAlignment="1" applyProtection="1">
      <alignment horizontal="left" vertical="center"/>
      <protection hidden="1"/>
    </xf>
    <xf numFmtId="0" fontId="11" fillId="0" borderId="24" xfId="1" applyFont="1" applyFill="1" applyBorder="1" applyAlignment="1" applyProtection="1">
      <alignment horizontal="left" vertical="center"/>
      <protection hidden="1"/>
    </xf>
    <xf numFmtId="0" fontId="10" fillId="0" borderId="23" xfId="1" applyFont="1" applyFill="1" applyBorder="1" applyAlignment="1" applyProtection="1">
      <alignment horizontal="center" vertical="center"/>
      <protection hidden="1"/>
    </xf>
    <xf numFmtId="0" fontId="10" fillId="0" borderId="20" xfId="1" applyFont="1" applyFill="1" applyBorder="1" applyAlignment="1" applyProtection="1">
      <alignment horizontal="center" vertical="center"/>
      <protection hidden="1"/>
    </xf>
    <xf numFmtId="0" fontId="26" fillId="0" borderId="24" xfId="1" applyFont="1" applyFill="1" applyBorder="1" applyAlignment="1" applyProtection="1">
      <alignment horizontal="left" vertical="center"/>
      <protection hidden="1"/>
    </xf>
    <xf numFmtId="0" fontId="11" fillId="14" borderId="19" xfId="1" applyFont="1" applyFill="1" applyBorder="1" applyAlignment="1" applyProtection="1">
      <alignment horizontal="left" vertical="center"/>
      <protection hidden="1"/>
    </xf>
    <xf numFmtId="0" fontId="11" fillId="14" borderId="20" xfId="1" applyFont="1" applyFill="1" applyBorder="1" applyAlignment="1" applyProtection="1">
      <alignment horizontal="left" vertical="center"/>
      <protection hidden="1"/>
    </xf>
    <xf numFmtId="0" fontId="19" fillId="0" borderId="18" xfId="1" applyFont="1" applyFill="1" applyBorder="1" applyAlignment="1" applyProtection="1">
      <alignment horizontal="left" vertical="center"/>
      <protection hidden="1"/>
    </xf>
    <xf numFmtId="0" fontId="19" fillId="0" borderId="19" xfId="1" applyFont="1" applyFill="1" applyBorder="1" applyAlignment="1" applyProtection="1">
      <alignment horizontal="left" vertical="center"/>
      <protection hidden="1"/>
    </xf>
    <xf numFmtId="0" fontId="19" fillId="0" borderId="20" xfId="1" applyFont="1" applyFill="1" applyBorder="1" applyAlignment="1" applyProtection="1">
      <alignment horizontal="left" vertical="center"/>
      <protection hidden="1"/>
    </xf>
    <xf numFmtId="0" fontId="11" fillId="0" borderId="26" xfId="1" applyFont="1" applyFill="1" applyBorder="1" applyAlignment="1" applyProtection="1">
      <alignment horizontal="center" vertical="center"/>
      <protection hidden="1"/>
    </xf>
    <xf numFmtId="0" fontId="11" fillId="0" borderId="27" xfId="1" applyFont="1" applyFill="1" applyBorder="1" applyAlignment="1" applyProtection="1">
      <alignment horizontal="center" vertical="center"/>
      <protection hidden="1"/>
    </xf>
    <xf numFmtId="0" fontId="186" fillId="0" borderId="23" xfId="1" applyFont="1" applyFill="1" applyBorder="1" applyAlignment="1" applyProtection="1">
      <alignment horizontal="center" vertical="center"/>
      <protection hidden="1"/>
    </xf>
    <xf numFmtId="0" fontId="186" fillId="0" borderId="20" xfId="1" applyFont="1" applyFill="1" applyBorder="1" applyAlignment="1" applyProtection="1">
      <alignment horizontal="center" vertical="center"/>
      <protection hidden="1"/>
    </xf>
    <xf numFmtId="0" fontId="26" fillId="0" borderId="15" xfId="1" applyFont="1" applyFill="1" applyBorder="1" applyAlignment="1" applyProtection="1">
      <alignment horizontal="left"/>
      <protection hidden="1"/>
    </xf>
    <xf numFmtId="0" fontId="26" fillId="0" borderId="16" xfId="1" applyFont="1" applyFill="1" applyBorder="1" applyAlignment="1" applyProtection="1">
      <alignment horizontal="left"/>
      <protection hidden="1"/>
    </xf>
    <xf numFmtId="0" fontId="72" fillId="0" borderId="40" xfId="1" applyFont="1" applyFill="1" applyBorder="1" applyAlignment="1" applyProtection="1">
      <alignment horizontal="center"/>
      <protection hidden="1"/>
    </xf>
    <xf numFmtId="0" fontId="72" fillId="0" borderId="41" xfId="1" applyFont="1" applyFill="1" applyBorder="1" applyAlignment="1" applyProtection="1">
      <alignment horizontal="center"/>
      <protection hidden="1"/>
    </xf>
    <xf numFmtId="0" fontId="72" fillId="0" borderId="9" xfId="1" applyFont="1" applyFill="1" applyBorder="1" applyAlignment="1" applyProtection="1">
      <alignment horizontal="center"/>
      <protection hidden="1"/>
    </xf>
    <xf numFmtId="0" fontId="72" fillId="0" borderId="109" xfId="1" applyFont="1" applyFill="1" applyBorder="1" applyAlignment="1" applyProtection="1">
      <alignment horizontal="center"/>
      <protection hidden="1"/>
    </xf>
    <xf numFmtId="41" fontId="11" fillId="0" borderId="11" xfId="1" applyNumberFormat="1" applyFont="1" applyFill="1" applyBorder="1" applyAlignment="1" applyProtection="1">
      <alignment horizontal="left"/>
      <protection hidden="1"/>
    </xf>
    <xf numFmtId="0" fontId="11" fillId="0" borderId="112" xfId="1" applyFont="1" applyFill="1" applyBorder="1" applyAlignment="1" applyProtection="1">
      <alignment horizontal="left" vertical="center"/>
      <protection hidden="1"/>
    </xf>
    <xf numFmtId="0" fontId="11" fillId="0" borderId="53" xfId="1" applyFont="1" applyFill="1" applyBorder="1" applyAlignment="1" applyProtection="1">
      <alignment horizontal="left" vertical="center"/>
      <protection hidden="1"/>
    </xf>
    <xf numFmtId="41" fontId="11" fillId="0" borderId="53" xfId="1" applyNumberFormat="1" applyFont="1" applyFill="1" applyBorder="1" applyAlignment="1" applyProtection="1">
      <alignment horizontal="left" vertical="center"/>
      <protection hidden="1"/>
    </xf>
    <xf numFmtId="0" fontId="11" fillId="0" borderId="74" xfId="1" applyFont="1" applyFill="1" applyBorder="1" applyAlignment="1" applyProtection="1">
      <alignment horizontal="left"/>
      <protection hidden="1"/>
    </xf>
    <xf numFmtId="0" fontId="11" fillId="0" borderId="73" xfId="1" applyFont="1" applyFill="1" applyBorder="1" applyAlignment="1" applyProtection="1">
      <alignment horizontal="left"/>
      <protection hidden="1"/>
    </xf>
    <xf numFmtId="41" fontId="11" fillId="0" borderId="8" xfId="1" applyNumberFormat="1" applyFont="1" applyFill="1" applyBorder="1" applyAlignment="1" applyProtection="1">
      <alignment horizontal="left" vertical="center"/>
      <protection hidden="1"/>
    </xf>
    <xf numFmtId="41" fontId="11" fillId="0" borderId="111" xfId="1" applyNumberFormat="1" applyFont="1" applyFill="1" applyBorder="1" applyAlignment="1" applyProtection="1">
      <alignment horizontal="left" vertical="center"/>
      <protection hidden="1"/>
    </xf>
    <xf numFmtId="0" fontId="72" fillId="0" borderId="39" xfId="1" applyFont="1" applyFill="1" applyBorder="1" applyAlignment="1" applyProtection="1">
      <alignment horizontal="center"/>
      <protection hidden="1"/>
    </xf>
    <xf numFmtId="0" fontId="72" fillId="0" borderId="42" xfId="1" applyFont="1" applyFill="1" applyBorder="1" applyAlignment="1" applyProtection="1">
      <alignment horizontal="center"/>
      <protection hidden="1"/>
    </xf>
    <xf numFmtId="0" fontId="72" fillId="0" borderId="0" xfId="1" applyFont="1" applyFill="1" applyBorder="1" applyAlignment="1" applyProtection="1">
      <alignment horizontal="center"/>
      <protection hidden="1"/>
    </xf>
    <xf numFmtId="0" fontId="11" fillId="0" borderId="110" xfId="1" applyFont="1" applyFill="1" applyBorder="1" applyAlignment="1" applyProtection="1">
      <alignment horizontal="left" vertical="center"/>
      <protection hidden="1"/>
    </xf>
    <xf numFmtId="0" fontId="11" fillId="0" borderId="8" xfId="1" applyFont="1" applyFill="1" applyBorder="1" applyAlignment="1" applyProtection="1">
      <alignment horizontal="left" vertical="center"/>
      <protection hidden="1"/>
    </xf>
    <xf numFmtId="41" fontId="11" fillId="0" borderId="77" xfId="1" applyNumberFormat="1" applyFont="1" applyFill="1" applyBorder="1" applyAlignment="1" applyProtection="1">
      <alignment horizontal="left" vertical="center" wrapText="1"/>
      <protection hidden="1"/>
    </xf>
    <xf numFmtId="41" fontId="11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20" fillId="0" borderId="9" xfId="1" applyFont="1" applyFill="1" applyBorder="1" applyAlignment="1" applyProtection="1">
      <alignment horizontal="center" vertical="center"/>
      <protection hidden="1"/>
    </xf>
    <xf numFmtId="0" fontId="18" fillId="0" borderId="40" xfId="1" applyFont="1" applyFill="1" applyBorder="1" applyAlignment="1" applyProtection="1">
      <alignment horizontal="center"/>
      <protection hidden="1"/>
    </xf>
    <xf numFmtId="17" fontId="18" fillId="0" borderId="19" xfId="1" applyNumberFormat="1" applyFont="1" applyFill="1" applyBorder="1" applyAlignment="1" applyProtection="1">
      <alignment horizontal="left" vertical="center"/>
      <protection hidden="1"/>
    </xf>
    <xf numFmtId="17" fontId="18" fillId="0" borderId="20" xfId="1" applyNumberFormat="1" applyFont="1" applyFill="1" applyBorder="1" applyAlignment="1" applyProtection="1">
      <alignment horizontal="left" vertical="center"/>
      <protection hidden="1"/>
    </xf>
    <xf numFmtId="41" fontId="11" fillId="0" borderId="11" xfId="1" applyNumberFormat="1" applyFont="1" applyFill="1" applyBorder="1" applyAlignment="1" applyProtection="1">
      <alignment horizontal="left" vertical="center"/>
      <protection hidden="1"/>
    </xf>
    <xf numFmtId="41" fontId="11" fillId="0" borderId="78" xfId="1" applyNumberFormat="1" applyFont="1" applyFill="1" applyBorder="1" applyAlignment="1" applyProtection="1">
      <alignment horizontal="left" vertical="center"/>
      <protection hidden="1"/>
    </xf>
    <xf numFmtId="41" fontId="11" fillId="0" borderId="9" xfId="1" applyNumberFormat="1" applyFont="1" applyFill="1" applyBorder="1" applyAlignment="1" applyProtection="1">
      <alignment horizontal="left" vertical="center"/>
      <protection hidden="1"/>
    </xf>
    <xf numFmtId="41" fontId="11" fillId="0" borderId="109" xfId="1" applyNumberFormat="1" applyFont="1" applyFill="1" applyBorder="1" applyAlignment="1" applyProtection="1">
      <alignment horizontal="left" vertical="center"/>
      <protection hidden="1"/>
    </xf>
    <xf numFmtId="0" fontId="52" fillId="0" borderId="0" xfId="1" applyFont="1" applyFill="1" applyBorder="1" applyAlignment="1" applyProtection="1">
      <alignment horizontal="left" vertical="center"/>
      <protection hidden="1"/>
    </xf>
    <xf numFmtId="3" fontId="52" fillId="0" borderId="0" xfId="1" applyNumberFormat="1" applyFont="1" applyFill="1" applyBorder="1" applyAlignment="1" applyProtection="1">
      <alignment horizontal="left" vertical="center"/>
      <protection hidden="1"/>
    </xf>
    <xf numFmtId="3" fontId="52" fillId="0" borderId="32" xfId="1" applyNumberFormat="1" applyFont="1" applyFill="1" applyBorder="1" applyAlignment="1" applyProtection="1">
      <alignment horizontal="left" vertical="center"/>
      <protection hidden="1"/>
    </xf>
    <xf numFmtId="0" fontId="52" fillId="0" borderId="0" xfId="1" applyNumberFormat="1" applyFont="1" applyFill="1" applyBorder="1" applyAlignment="1" applyProtection="1">
      <alignment horizontal="left" vertical="center"/>
      <protection hidden="1"/>
    </xf>
    <xf numFmtId="0" fontId="52" fillId="0" borderId="32" xfId="1" applyNumberFormat="1" applyFont="1" applyFill="1" applyBorder="1" applyAlignment="1" applyProtection="1">
      <alignment horizontal="left" vertical="center"/>
      <protection hidden="1"/>
    </xf>
    <xf numFmtId="0" fontId="32" fillId="0" borderId="0" xfId="1" applyNumberFormat="1" applyFont="1" applyBorder="1" applyAlignment="1" applyProtection="1">
      <alignment horizontal="center"/>
      <protection hidden="1"/>
    </xf>
    <xf numFmtId="41" fontId="46" fillId="0" borderId="0" xfId="1" applyNumberFormat="1" applyFont="1" applyBorder="1" applyAlignment="1" applyProtection="1">
      <alignment horizontal="center"/>
      <protection hidden="1"/>
    </xf>
    <xf numFmtId="41" fontId="46" fillId="0" borderId="43" xfId="1" applyNumberFormat="1" applyFont="1" applyBorder="1" applyAlignment="1" applyProtection="1">
      <alignment horizontal="center"/>
      <protection hidden="1"/>
    </xf>
    <xf numFmtId="41" fontId="46" fillId="0" borderId="31" xfId="1" applyNumberFormat="1" applyFont="1" applyBorder="1" applyAlignment="1" applyProtection="1">
      <alignment horizontal="center"/>
      <protection hidden="1"/>
    </xf>
    <xf numFmtId="41" fontId="46" fillId="0" borderId="120" xfId="1" applyNumberFormat="1" applyFont="1" applyBorder="1" applyAlignment="1" applyProtection="1">
      <alignment horizontal="center"/>
      <protection hidden="1"/>
    </xf>
    <xf numFmtId="0" fontId="47" fillId="0" borderId="103" xfId="1" applyFont="1" applyBorder="1" applyAlignment="1" applyProtection="1">
      <alignment horizontal="center" vertical="center" wrapText="1"/>
      <protection hidden="1"/>
    </xf>
    <xf numFmtId="0" fontId="47" fillId="0" borderId="101" xfId="1" applyFont="1" applyBorder="1" applyAlignment="1" applyProtection="1">
      <alignment horizontal="center" vertical="center"/>
      <protection hidden="1"/>
    </xf>
    <xf numFmtId="0" fontId="52" fillId="0" borderId="0" xfId="1" applyFont="1" applyFill="1" applyBorder="1" applyAlignment="1" applyProtection="1">
      <alignment horizontal="left" vertical="center" wrapText="1"/>
      <protection hidden="1"/>
    </xf>
    <xf numFmtId="0" fontId="76" fillId="0" borderId="30" xfId="1" applyFont="1" applyBorder="1" applyAlignment="1" applyProtection="1">
      <alignment horizontal="center" vertical="center"/>
      <protection hidden="1"/>
    </xf>
    <xf numFmtId="0" fontId="76" fillId="0" borderId="31" xfId="1" applyFont="1" applyBorder="1" applyAlignment="1" applyProtection="1">
      <alignment horizontal="center" vertical="center"/>
      <protection hidden="1"/>
    </xf>
    <xf numFmtId="0" fontId="59" fillId="0" borderId="45" xfId="1" applyFont="1" applyBorder="1" applyAlignment="1" applyProtection="1">
      <alignment horizontal="right" vertical="center"/>
      <protection hidden="1"/>
    </xf>
    <xf numFmtId="0" fontId="55" fillId="0" borderId="0" xfId="1" applyFont="1" applyBorder="1" applyAlignment="1" applyProtection="1">
      <alignment horizontal="left" vertical="center"/>
      <protection hidden="1"/>
    </xf>
    <xf numFmtId="0" fontId="36" fillId="0" borderId="0" xfId="1" applyFont="1" applyBorder="1" applyAlignment="1" applyProtection="1">
      <alignment horizontal="left" vertical="center"/>
      <protection hidden="1"/>
    </xf>
    <xf numFmtId="0" fontId="52" fillId="0" borderId="0" xfId="1" applyFont="1" applyBorder="1" applyAlignment="1" applyProtection="1">
      <alignment horizontal="left" vertical="center"/>
      <protection hidden="1"/>
    </xf>
    <xf numFmtId="0" fontId="52" fillId="0" borderId="0" xfId="1" applyFont="1" applyBorder="1" applyAlignment="1" applyProtection="1">
      <alignment vertical="center"/>
      <protection hidden="1"/>
    </xf>
    <xf numFmtId="0" fontId="36" fillId="0" borderId="0" xfId="1" applyFont="1" applyBorder="1" applyAlignment="1" applyProtection="1">
      <alignment vertical="center"/>
      <protection hidden="1"/>
    </xf>
    <xf numFmtId="0" fontId="50" fillId="0" borderId="127" xfId="1" applyFont="1" applyBorder="1" applyAlignment="1" applyProtection="1">
      <alignment horizontal="center" vertical="center"/>
      <protection hidden="1"/>
    </xf>
    <xf numFmtId="0" fontId="50" fillId="0" borderId="35" xfId="1" applyFont="1" applyBorder="1" applyAlignment="1" applyProtection="1">
      <alignment horizontal="center" vertical="center"/>
      <protection hidden="1"/>
    </xf>
    <xf numFmtId="0" fontId="50" fillId="0" borderId="128" xfId="1" applyFont="1" applyBorder="1" applyAlignment="1" applyProtection="1">
      <alignment horizontal="center" vertical="center"/>
      <protection hidden="1"/>
    </xf>
    <xf numFmtId="0" fontId="36" fillId="0" borderId="8" xfId="1" applyFont="1" applyBorder="1" applyAlignment="1" applyProtection="1">
      <alignment horizontal="left" vertical="center"/>
      <protection hidden="1"/>
    </xf>
    <xf numFmtId="0" fontId="47" fillId="0" borderId="75" xfId="1" applyFont="1" applyBorder="1" applyAlignment="1" applyProtection="1">
      <alignment horizontal="center" vertical="center"/>
      <protection hidden="1"/>
    </xf>
    <xf numFmtId="0" fontId="47" fillId="0" borderId="5" xfId="1" applyFont="1" applyBorder="1" applyAlignment="1" applyProtection="1">
      <alignment horizontal="center" vertical="center"/>
      <protection hidden="1"/>
    </xf>
    <xf numFmtId="1" fontId="48" fillId="0" borderId="48" xfId="1" applyNumberFormat="1" applyFont="1" applyBorder="1" applyAlignment="1" applyProtection="1">
      <alignment horizontal="right" vertical="center"/>
      <protection hidden="1"/>
    </xf>
    <xf numFmtId="1" fontId="48" fillId="0" borderId="12" xfId="1" applyNumberFormat="1" applyFont="1" applyBorder="1" applyAlignment="1" applyProtection="1">
      <alignment horizontal="right" vertical="center"/>
      <protection hidden="1"/>
    </xf>
    <xf numFmtId="17" fontId="96" fillId="0" borderId="13" xfId="1" applyNumberFormat="1" applyFont="1" applyBorder="1" applyAlignment="1" applyProtection="1">
      <alignment horizontal="center" vertical="center"/>
      <protection hidden="1"/>
    </xf>
    <xf numFmtId="0" fontId="96" fillId="0" borderId="32" xfId="1" applyNumberFormat="1" applyFont="1" applyBorder="1" applyAlignment="1" applyProtection="1">
      <alignment horizontal="center" vertical="center"/>
      <protection hidden="1"/>
    </xf>
    <xf numFmtId="0" fontId="96" fillId="0" borderId="119" xfId="1" applyNumberFormat="1" applyFont="1" applyBorder="1" applyAlignment="1" applyProtection="1">
      <alignment horizontal="center" vertical="center"/>
      <protection hidden="1"/>
    </xf>
    <xf numFmtId="0" fontId="96" fillId="0" borderId="43" xfId="1" applyNumberFormat="1" applyFont="1" applyBorder="1" applyAlignment="1" applyProtection="1">
      <alignment horizontal="center" vertical="center"/>
      <protection hidden="1"/>
    </xf>
    <xf numFmtId="0" fontId="47" fillId="0" borderId="79" xfId="1" applyFont="1" applyBorder="1" applyAlignment="1" applyProtection="1">
      <alignment horizontal="center" vertical="center"/>
      <protection hidden="1"/>
    </xf>
    <xf numFmtId="0" fontId="47" fillId="0" borderId="33" xfId="1" applyFont="1" applyBorder="1" applyAlignment="1" applyProtection="1">
      <alignment horizontal="center" vertical="center"/>
      <protection hidden="1"/>
    </xf>
    <xf numFmtId="1" fontId="48" fillId="0" borderId="54" xfId="1" applyNumberFormat="1" applyFont="1" applyBorder="1" applyAlignment="1" applyProtection="1">
      <alignment horizontal="right" vertical="center"/>
      <protection hidden="1"/>
    </xf>
    <xf numFmtId="1" fontId="48" fillId="0" borderId="55" xfId="1" applyNumberFormat="1" applyFont="1" applyBorder="1" applyAlignment="1" applyProtection="1">
      <alignment horizontal="right" vertical="center"/>
      <protection hidden="1"/>
    </xf>
    <xf numFmtId="0" fontId="47" fillId="0" borderId="85" xfId="1" applyFont="1" applyBorder="1" applyAlignment="1" applyProtection="1">
      <alignment horizontal="center" vertical="center"/>
      <protection hidden="1"/>
    </xf>
    <xf numFmtId="0" fontId="47" fillId="0" borderId="10" xfId="1" applyFont="1" applyBorder="1" applyAlignment="1" applyProtection="1">
      <alignment horizontal="center" vertical="center"/>
      <protection hidden="1"/>
    </xf>
    <xf numFmtId="0" fontId="78" fillId="10" borderId="126" xfId="1" applyFont="1" applyFill="1" applyBorder="1" applyAlignment="1" applyProtection="1">
      <alignment horizontal="center" vertical="center"/>
      <protection hidden="1"/>
    </xf>
    <xf numFmtId="0" fontId="78" fillId="10" borderId="31" xfId="1" applyFont="1" applyFill="1" applyBorder="1" applyAlignment="1" applyProtection="1">
      <alignment horizontal="center" vertical="center"/>
      <protection hidden="1"/>
    </xf>
    <xf numFmtId="0" fontId="78" fillId="10" borderId="120" xfId="1" applyFont="1" applyFill="1" applyBorder="1" applyAlignment="1" applyProtection="1">
      <alignment horizontal="center" vertical="center"/>
      <protection hidden="1"/>
    </xf>
    <xf numFmtId="0" fontId="47" fillId="0" borderId="48" xfId="1" applyFont="1" applyBorder="1" applyAlignment="1" applyProtection="1">
      <alignment horizontal="center" vertical="center" wrapText="1"/>
      <protection hidden="1"/>
    </xf>
    <xf numFmtId="0" fontId="47" fillId="0" borderId="12" xfId="1" applyFont="1" applyBorder="1" applyAlignment="1" applyProtection="1">
      <alignment horizontal="center" vertical="center" wrapText="1"/>
      <protection hidden="1"/>
    </xf>
    <xf numFmtId="41" fontId="46" fillId="0" borderId="42" xfId="1" applyNumberFormat="1" applyFont="1" applyBorder="1" applyAlignment="1" applyProtection="1">
      <alignment horizontal="center" vertical="center"/>
      <protection hidden="1"/>
    </xf>
    <xf numFmtId="41" fontId="46" fillId="0" borderId="0" xfId="1" applyNumberFormat="1" applyFont="1" applyBorder="1" applyAlignment="1" applyProtection="1">
      <alignment horizontal="center" vertical="center"/>
      <protection hidden="1"/>
    </xf>
    <xf numFmtId="0" fontId="43" fillId="10" borderId="42" xfId="1" applyFont="1" applyFill="1" applyBorder="1" applyAlignment="1" applyProtection="1">
      <alignment horizontal="center"/>
      <protection hidden="1"/>
    </xf>
    <xf numFmtId="0" fontId="43" fillId="10" borderId="0" xfId="1" applyFont="1" applyFill="1" applyBorder="1" applyAlignment="1" applyProtection="1">
      <alignment horizontal="center"/>
      <protection hidden="1"/>
    </xf>
    <xf numFmtId="0" fontId="43" fillId="10" borderId="43" xfId="1" applyFont="1" applyFill="1" applyBorder="1" applyAlignment="1" applyProtection="1">
      <alignment horizontal="center"/>
      <protection hidden="1"/>
    </xf>
    <xf numFmtId="0" fontId="44" fillId="0" borderId="110" xfId="1" applyFont="1" applyBorder="1" applyAlignment="1" applyProtection="1">
      <alignment horizontal="center" vertical="center"/>
      <protection hidden="1"/>
    </xf>
    <xf numFmtId="0" fontId="44" fillId="0" borderId="8" xfId="1" applyFont="1" applyBorder="1" applyAlignment="1" applyProtection="1">
      <alignment horizontal="center" vertical="center"/>
      <protection hidden="1"/>
    </xf>
    <xf numFmtId="1" fontId="11" fillId="0" borderId="11" xfId="1" applyNumberFormat="1" applyFont="1" applyBorder="1" applyAlignment="1">
      <alignment vertical="center"/>
    </xf>
    <xf numFmtId="0" fontId="11" fillId="0" borderId="78" xfId="1" applyFont="1" applyBorder="1" applyAlignment="1">
      <alignment vertical="center"/>
    </xf>
    <xf numFmtId="1" fontId="47" fillId="0" borderId="11" xfId="1" applyNumberFormat="1" applyFont="1" applyBorder="1" applyAlignment="1" applyProtection="1">
      <alignment vertical="center"/>
      <protection hidden="1"/>
    </xf>
    <xf numFmtId="0" fontId="46" fillId="0" borderId="77" xfId="1" applyFont="1" applyBorder="1" applyAlignment="1" applyProtection="1">
      <alignment vertical="center"/>
      <protection hidden="1"/>
    </xf>
    <xf numFmtId="0" fontId="46" fillId="0" borderId="11" xfId="1" applyFont="1" applyBorder="1" applyAlignment="1" applyProtection="1">
      <alignment vertical="center"/>
      <protection hidden="1"/>
    </xf>
    <xf numFmtId="0" fontId="39" fillId="0" borderId="124" xfId="1" applyFont="1" applyBorder="1" applyAlignment="1" applyProtection="1">
      <alignment horizontal="center" vertical="center" wrapText="1"/>
      <protection hidden="1"/>
    </xf>
    <xf numFmtId="0" fontId="39" fillId="0" borderId="125" xfId="1" applyFont="1" applyBorder="1" applyAlignment="1" applyProtection="1">
      <alignment horizontal="center" vertical="center" wrapText="1"/>
      <protection hidden="1"/>
    </xf>
    <xf numFmtId="0" fontId="40" fillId="0" borderId="42" xfId="1" applyFont="1" applyBorder="1" applyAlignment="1" applyProtection="1">
      <alignment horizontal="center" vertical="center" wrapText="1"/>
      <protection hidden="1"/>
    </xf>
    <xf numFmtId="0" fontId="40" fillId="0" borderId="0" xfId="1" applyFont="1" applyBorder="1" applyAlignment="1" applyProtection="1">
      <alignment horizontal="center" vertical="center" wrapText="1"/>
      <protection hidden="1"/>
    </xf>
    <xf numFmtId="0" fontId="41" fillId="0" borderId="0" xfId="1" applyFont="1" applyBorder="1" applyAlignment="1" applyProtection="1">
      <alignment horizontal="center" vertical="center" wrapText="1"/>
      <protection hidden="1"/>
    </xf>
    <xf numFmtId="0" fontId="38" fillId="0" borderId="124" xfId="1" applyFont="1" applyBorder="1" applyAlignment="1" applyProtection="1">
      <alignment horizontal="center" vertical="center" wrapText="1"/>
      <protection hidden="1"/>
    </xf>
    <xf numFmtId="0" fontId="32" fillId="0" borderId="0" xfId="1" applyFont="1" applyBorder="1" applyAlignment="1" applyProtection="1">
      <alignment horizontal="center"/>
      <protection hidden="1"/>
    </xf>
    <xf numFmtId="0" fontId="12" fillId="0" borderId="42" xfId="1" applyFont="1" applyBorder="1" applyAlignment="1" applyProtection="1">
      <alignment horizontal="left"/>
      <protection hidden="1"/>
    </xf>
    <xf numFmtId="0" fontId="12" fillId="0" borderId="0" xfId="1" applyFont="1" applyBorder="1" applyAlignment="1" applyProtection="1">
      <alignment horizontal="left"/>
      <protection hidden="1"/>
    </xf>
    <xf numFmtId="0" fontId="12" fillId="0" borderId="43" xfId="1" applyFont="1" applyBorder="1" applyAlignment="1" applyProtection="1">
      <alignment horizontal="left"/>
      <protection hidden="1"/>
    </xf>
    <xf numFmtId="0" fontId="11" fillId="0" borderId="0" xfId="1" applyFont="1" applyFill="1" applyBorder="1" applyAlignment="1" applyProtection="1">
      <alignment horizontal="left" vertical="center"/>
      <protection hidden="1"/>
    </xf>
    <xf numFmtId="0" fontId="12" fillId="0" borderId="42" xfId="1" applyFont="1" applyBorder="1" applyAlignment="1" applyProtection="1">
      <alignment horizontal="right"/>
      <protection hidden="1"/>
    </xf>
    <xf numFmtId="0" fontId="12" fillId="0" borderId="0" xfId="1" applyFont="1" applyBorder="1" applyAlignment="1" applyProtection="1">
      <alignment horizontal="right"/>
      <protection hidden="1"/>
    </xf>
    <xf numFmtId="0" fontId="12" fillId="0" borderId="16" xfId="1" applyFont="1" applyBorder="1" applyAlignment="1" applyProtection="1">
      <alignment horizontal="center"/>
      <protection hidden="1"/>
    </xf>
    <xf numFmtId="1" fontId="12" fillId="0" borderId="42" xfId="1" applyNumberFormat="1" applyFont="1" applyBorder="1" applyAlignment="1" applyProtection="1">
      <alignment horizontal="right"/>
      <protection hidden="1"/>
    </xf>
    <xf numFmtId="1" fontId="12" fillId="0" borderId="0" xfId="1" applyNumberFormat="1" applyFont="1" applyBorder="1" applyAlignment="1" applyProtection="1">
      <alignment horizontal="right"/>
      <protection hidden="1"/>
    </xf>
    <xf numFmtId="0" fontId="18" fillId="0" borderId="0" xfId="1" applyFont="1" applyBorder="1" applyAlignment="1" applyProtection="1">
      <alignment horizontal="center" vertical="center"/>
      <protection hidden="1"/>
    </xf>
    <xf numFmtId="0" fontId="18" fillId="0" borderId="43" xfId="1" applyFont="1" applyBorder="1" applyAlignment="1" applyProtection="1">
      <alignment horizontal="center" vertical="center"/>
      <protection hidden="1"/>
    </xf>
    <xf numFmtId="0" fontId="11" fillId="0" borderId="0" xfId="1" applyFont="1" applyBorder="1" applyAlignment="1" applyProtection="1">
      <alignment horizontal="left" vertical="center"/>
      <protection hidden="1"/>
    </xf>
    <xf numFmtId="0" fontId="11" fillId="0" borderId="43" xfId="1" applyFont="1" applyBorder="1" applyAlignment="1" applyProtection="1">
      <alignment horizontal="left" vertical="center"/>
      <protection hidden="1"/>
    </xf>
    <xf numFmtId="0" fontId="40" fillId="0" borderId="8" xfId="1" applyFont="1" applyBorder="1" applyAlignment="1" applyProtection="1">
      <alignment horizontal="left" vertical="center"/>
      <protection hidden="1"/>
    </xf>
    <xf numFmtId="0" fontId="40" fillId="0" borderId="111" xfId="1" applyFont="1" applyBorder="1" applyAlignment="1" applyProtection="1">
      <alignment horizontal="left" vertical="center"/>
      <protection hidden="1"/>
    </xf>
    <xf numFmtId="0" fontId="40" fillId="0" borderId="45" xfId="1" applyFont="1" applyBorder="1" applyAlignment="1" applyProtection="1">
      <alignment horizontal="left" vertical="center"/>
      <protection hidden="1"/>
    </xf>
    <xf numFmtId="0" fontId="40" fillId="0" borderId="46" xfId="1" applyFont="1" applyBorder="1" applyAlignment="1" applyProtection="1">
      <alignment horizontal="left" vertical="center"/>
      <protection hidden="1"/>
    </xf>
    <xf numFmtId="171" fontId="11" fillId="0" borderId="0" xfId="1" applyNumberFormat="1" applyFont="1" applyBorder="1" applyAlignment="1" applyProtection="1">
      <alignment horizontal="left"/>
      <protection hidden="1"/>
    </xf>
    <xf numFmtId="41" fontId="11" fillId="0" borderId="0" xfId="1" applyNumberFormat="1" applyFont="1" applyBorder="1" applyAlignment="1" applyProtection="1">
      <alignment horizontal="left" vertical="center"/>
      <protection hidden="1"/>
    </xf>
    <xf numFmtId="41" fontId="11" fillId="0" borderId="43" xfId="1" applyNumberFormat="1" applyFont="1" applyBorder="1" applyAlignment="1" applyProtection="1">
      <alignment horizontal="left" vertical="center"/>
      <protection hidden="1"/>
    </xf>
    <xf numFmtId="0" fontId="11" fillId="0" borderId="16" xfId="1" applyFont="1" applyBorder="1" applyAlignment="1" applyProtection="1">
      <alignment horizontal="center"/>
      <protection hidden="1"/>
    </xf>
    <xf numFmtId="0" fontId="11" fillId="0" borderId="138" xfId="1" applyFont="1" applyBorder="1" applyAlignment="1" applyProtection="1">
      <alignment horizontal="center"/>
      <protection hidden="1"/>
    </xf>
    <xf numFmtId="0" fontId="12" fillId="0" borderId="16" xfId="1" applyFont="1" applyFill="1" applyBorder="1" applyAlignment="1" applyProtection="1">
      <alignment horizontal="center"/>
      <protection hidden="1"/>
    </xf>
    <xf numFmtId="0" fontId="12" fillId="0" borderId="0" xfId="1" applyFont="1" applyFill="1" applyBorder="1" applyAlignment="1" applyProtection="1">
      <alignment horizontal="left"/>
      <protection hidden="1"/>
    </xf>
    <xf numFmtId="0" fontId="12" fillId="0" borderId="43" xfId="1" applyFont="1" applyFill="1" applyBorder="1" applyAlignment="1" applyProtection="1">
      <alignment horizontal="left"/>
      <protection hidden="1"/>
    </xf>
    <xf numFmtId="0" fontId="52" fillId="0" borderId="38" xfId="1" applyFont="1" applyBorder="1" applyAlignment="1" applyProtection="1">
      <alignment horizontal="left" vertical="center"/>
      <protection hidden="1"/>
    </xf>
    <xf numFmtId="0" fontId="52" fillId="0" borderId="31" xfId="1" applyFont="1" applyBorder="1" applyAlignment="1" applyProtection="1">
      <alignment horizontal="left" vertical="center"/>
      <protection hidden="1"/>
    </xf>
    <xf numFmtId="0" fontId="52" fillId="0" borderId="31" xfId="1" applyFont="1" applyBorder="1" applyAlignment="1" applyProtection="1">
      <alignment horizontal="right" vertical="center"/>
      <protection hidden="1"/>
    </xf>
    <xf numFmtId="0" fontId="52" fillId="0" borderId="36" xfId="1" applyFont="1" applyBorder="1" applyAlignment="1" applyProtection="1">
      <alignment horizontal="right" vertical="center"/>
      <protection hidden="1"/>
    </xf>
    <xf numFmtId="0" fontId="43" fillId="0" borderId="42" xfId="1" applyFont="1" applyBorder="1" applyAlignment="1" applyProtection="1">
      <alignment horizontal="center" vertical="center"/>
      <protection hidden="1"/>
    </xf>
    <xf numFmtId="0" fontId="43" fillId="0" borderId="0" xfId="1" applyFont="1" applyBorder="1" applyAlignment="1" applyProtection="1">
      <alignment horizontal="center" vertical="center"/>
      <protection hidden="1"/>
    </xf>
    <xf numFmtId="0" fontId="43" fillId="0" borderId="43" xfId="1" applyFont="1" applyBorder="1" applyAlignment="1" applyProtection="1">
      <alignment horizontal="center" vertical="center"/>
      <protection hidden="1"/>
    </xf>
    <xf numFmtId="0" fontId="15" fillId="0" borderId="42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15" fillId="0" borderId="43" xfId="1" applyFont="1" applyBorder="1" applyAlignment="1" applyProtection="1">
      <alignment horizontal="center" vertical="center"/>
      <protection hidden="1"/>
    </xf>
    <xf numFmtId="0" fontId="99" fillId="0" borderId="119" xfId="1" applyFont="1" applyBorder="1" applyAlignment="1" applyProtection="1">
      <alignment horizontal="center" vertical="center" wrapText="1"/>
      <protection hidden="1"/>
    </xf>
    <xf numFmtId="0" fontId="99" fillId="0" borderId="43" xfId="1" applyFont="1" applyBorder="1" applyAlignment="1" applyProtection="1">
      <alignment horizontal="center" vertical="center" wrapText="1"/>
      <protection hidden="1"/>
    </xf>
    <xf numFmtId="0" fontId="99" fillId="0" borderId="120" xfId="1" applyFont="1" applyBorder="1" applyAlignment="1" applyProtection="1">
      <alignment horizontal="center" vertical="center" wrapText="1"/>
      <protection hidden="1"/>
    </xf>
    <xf numFmtId="0" fontId="15" fillId="0" borderId="79" xfId="1" applyFont="1" applyBorder="1" applyAlignment="1" applyProtection="1">
      <alignment horizontal="center" vertical="center" textRotation="90"/>
      <protection hidden="1"/>
    </xf>
    <xf numFmtId="0" fontId="15" fillId="0" borderId="82" xfId="1" applyFont="1" applyBorder="1" applyAlignment="1" applyProtection="1">
      <alignment horizontal="center" vertical="center" textRotation="90"/>
      <protection hidden="1"/>
    </xf>
    <xf numFmtId="0" fontId="15" fillId="0" borderId="85" xfId="1" applyFont="1" applyBorder="1" applyAlignment="1" applyProtection="1">
      <alignment horizontal="center" vertical="center" textRotation="90"/>
      <protection hidden="1"/>
    </xf>
    <xf numFmtId="0" fontId="40" fillId="0" borderId="33" xfId="1" applyFont="1" applyBorder="1" applyAlignment="1" applyProtection="1">
      <alignment horizontal="center" vertical="center" wrapText="1"/>
      <protection hidden="1"/>
    </xf>
    <xf numFmtId="0" fontId="40" fillId="0" borderId="34" xfId="1" applyFont="1" applyBorder="1" applyAlignment="1" applyProtection="1">
      <alignment horizontal="center" vertical="center" wrapText="1"/>
      <protection hidden="1"/>
    </xf>
    <xf numFmtId="0" fontId="40" fillId="0" borderId="10" xfId="1" applyFont="1" applyBorder="1" applyAlignment="1" applyProtection="1">
      <alignment horizontal="center" vertical="center" wrapText="1"/>
      <protection hidden="1"/>
    </xf>
    <xf numFmtId="0" fontId="39" fillId="0" borderId="33" xfId="1" applyFont="1" applyBorder="1" applyAlignment="1" applyProtection="1">
      <alignment horizontal="center" vertical="center" wrapText="1"/>
      <protection hidden="1"/>
    </xf>
    <xf numFmtId="0" fontId="39" fillId="0" borderId="34" xfId="1" applyFont="1" applyBorder="1" applyAlignment="1" applyProtection="1">
      <alignment horizontal="center" vertical="center" wrapText="1"/>
      <protection hidden="1"/>
    </xf>
    <xf numFmtId="0" fontId="39" fillId="0" borderId="10" xfId="1" applyFont="1" applyBorder="1" applyAlignment="1" applyProtection="1">
      <alignment horizontal="center" vertical="center" wrapText="1"/>
      <protection hidden="1"/>
    </xf>
    <xf numFmtId="0" fontId="40" fillId="0" borderId="34" xfId="1" applyFont="1" applyBorder="1" applyAlignment="1" applyProtection="1">
      <alignment horizontal="center" vertical="center"/>
      <protection hidden="1"/>
    </xf>
    <xf numFmtId="0" fontId="40" fillId="0" borderId="10" xfId="1" applyFont="1" applyBorder="1" applyAlignment="1" applyProtection="1">
      <alignment horizontal="center" vertical="center"/>
      <protection hidden="1"/>
    </xf>
    <xf numFmtId="0" fontId="98" fillId="0" borderId="14" xfId="1" applyFont="1" applyBorder="1" applyAlignment="1" applyProtection="1">
      <alignment vertical="center"/>
      <protection hidden="1"/>
    </xf>
    <xf numFmtId="0" fontId="98" fillId="0" borderId="0" xfId="1" applyFont="1" applyBorder="1" applyAlignment="1" applyProtection="1">
      <alignment vertical="center"/>
      <protection hidden="1"/>
    </xf>
    <xf numFmtId="0" fontId="52" fillId="0" borderId="116" xfId="1" applyFont="1" applyBorder="1" applyAlignment="1" applyProtection="1">
      <alignment horizontal="left" vertical="center"/>
      <protection hidden="1"/>
    </xf>
    <xf numFmtId="0" fontId="52" fillId="0" borderId="40" xfId="1" applyFont="1" applyBorder="1" applyAlignment="1" applyProtection="1">
      <alignment horizontal="left" vertical="center"/>
      <protection hidden="1"/>
    </xf>
    <xf numFmtId="0" fontId="52" fillId="0" borderId="14" xfId="1" applyFont="1" applyBorder="1" applyAlignment="1" applyProtection="1">
      <alignment horizontal="left" vertical="center"/>
      <protection hidden="1"/>
    </xf>
    <xf numFmtId="0" fontId="52" fillId="0" borderId="0" xfId="1" applyFont="1" applyBorder="1" applyAlignment="1" applyProtection="1">
      <alignment horizontal="center" vertical="center"/>
      <protection hidden="1"/>
    </xf>
    <xf numFmtId="0" fontId="52" fillId="0" borderId="37" xfId="1" applyFont="1" applyBorder="1" applyAlignment="1" applyProtection="1">
      <alignment horizontal="left" vertical="center"/>
      <protection hidden="1"/>
    </xf>
    <xf numFmtId="0" fontId="11" fillId="13" borderId="42" xfId="0" applyFont="1" applyFill="1" applyBorder="1" applyAlignment="1" applyProtection="1">
      <alignment horizontal="left" vertical="center"/>
    </xf>
    <xf numFmtId="0" fontId="11" fillId="13" borderId="0" xfId="0" applyFont="1" applyFill="1" applyBorder="1" applyAlignment="1" applyProtection="1">
      <alignment horizontal="left" vertical="center"/>
    </xf>
    <xf numFmtId="0" fontId="11" fillId="13" borderId="43" xfId="0" applyFont="1" applyFill="1" applyBorder="1" applyAlignment="1" applyProtection="1">
      <alignment horizontal="left" vertical="center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101" fillId="0" borderId="42" xfId="0" applyFont="1" applyBorder="1" applyAlignment="1" applyProtection="1">
      <alignment horizontal="center" vertical="center"/>
    </xf>
    <xf numFmtId="0" fontId="101" fillId="0" borderId="0" xfId="0" applyFont="1" applyBorder="1" applyAlignment="1" applyProtection="1">
      <alignment horizontal="center" vertical="center"/>
    </xf>
    <xf numFmtId="0" fontId="101" fillId="0" borderId="43" xfId="0" applyFont="1" applyBorder="1" applyAlignment="1" applyProtection="1">
      <alignment horizontal="center" vertical="center"/>
    </xf>
    <xf numFmtId="44" fontId="11" fillId="13" borderId="83" xfId="0" applyNumberFormat="1" applyFont="1" applyFill="1" applyBorder="1" applyAlignment="1" applyProtection="1">
      <alignment horizontal="left" vertical="top" wrapText="1"/>
    </xf>
    <xf numFmtId="44" fontId="11" fillId="13" borderId="20" xfId="0" applyNumberFormat="1" applyFont="1" applyFill="1" applyBorder="1" applyAlignment="1" applyProtection="1">
      <alignment horizontal="left" vertical="top" wrapText="1"/>
    </xf>
    <xf numFmtId="44" fontId="11" fillId="13" borderId="21" xfId="0" applyNumberFormat="1" applyFont="1" applyFill="1" applyBorder="1" applyAlignment="1" applyProtection="1">
      <alignment horizontal="left" vertical="top" wrapText="1"/>
    </xf>
    <xf numFmtId="44" fontId="11" fillId="13" borderId="86" xfId="0" applyNumberFormat="1" applyFont="1" applyFill="1" applyBorder="1" applyAlignment="1" applyProtection="1">
      <alignment horizontal="left" vertical="top" wrapText="1"/>
    </xf>
    <xf numFmtId="44" fontId="11" fillId="13" borderId="93" xfId="0" applyNumberFormat="1" applyFont="1" applyFill="1" applyBorder="1" applyAlignment="1" applyProtection="1">
      <alignment horizontal="left" vertical="top" wrapText="1"/>
    </xf>
    <xf numFmtId="44" fontId="11" fillId="13" borderId="87" xfId="0" applyNumberFormat="1" applyFont="1" applyFill="1" applyBorder="1" applyAlignment="1" applyProtection="1">
      <alignment horizontal="left" vertical="top" wrapText="1"/>
    </xf>
    <xf numFmtId="0" fontId="11" fillId="13" borderId="96" xfId="0" applyNumberFormat="1" applyFont="1" applyFill="1" applyBorder="1" applyAlignment="1" applyProtection="1">
      <alignment horizontal="left" vertical="top" wrapText="1"/>
    </xf>
    <xf numFmtId="0" fontId="11" fillId="13" borderId="97" xfId="0" applyNumberFormat="1" applyFont="1" applyFill="1" applyBorder="1" applyAlignment="1" applyProtection="1">
      <alignment horizontal="left" vertical="top" wrapText="1"/>
    </xf>
    <xf numFmtId="0" fontId="11" fillId="13" borderId="98" xfId="0" applyNumberFormat="1" applyFont="1" applyFill="1" applyBorder="1" applyAlignment="1" applyProtection="1">
      <alignment horizontal="left" vertical="top" wrapText="1"/>
    </xf>
    <xf numFmtId="0" fontId="11" fillId="13" borderId="94" xfId="0" applyNumberFormat="1" applyFont="1" applyFill="1" applyBorder="1" applyAlignment="1" applyProtection="1">
      <alignment horizontal="left" vertical="top" wrapText="1"/>
    </xf>
    <xf numFmtId="0" fontId="11" fillId="13" borderId="24" xfId="0" applyNumberFormat="1" applyFont="1" applyFill="1" applyBorder="1" applyAlignment="1" applyProtection="1">
      <alignment horizontal="left" vertical="top" wrapText="1"/>
    </xf>
    <xf numFmtId="0" fontId="11" fillId="13" borderId="17" xfId="0" applyNumberFormat="1" applyFont="1" applyFill="1" applyBorder="1" applyAlignment="1" applyProtection="1">
      <alignment horizontal="left" vertical="top" wrapText="1"/>
    </xf>
    <xf numFmtId="0" fontId="18" fillId="13" borderId="85" xfId="0" applyFont="1" applyFill="1" applyBorder="1" applyAlignment="1" applyProtection="1">
      <alignment horizontal="left" vertical="center" wrapText="1"/>
    </xf>
    <xf numFmtId="0" fontId="18" fillId="13" borderId="10" xfId="0" applyFont="1" applyFill="1" applyBorder="1" applyAlignment="1" applyProtection="1">
      <alignment horizontal="left" vertical="center" wrapText="1"/>
    </xf>
    <xf numFmtId="0" fontId="18" fillId="13" borderId="101" xfId="0" applyFont="1" applyFill="1" applyBorder="1" applyAlignment="1" applyProtection="1">
      <alignment horizontal="left" vertical="center" wrapText="1"/>
    </xf>
    <xf numFmtId="0" fontId="11" fillId="13" borderId="48" xfId="0" applyFont="1" applyFill="1" applyBorder="1" applyAlignment="1" applyProtection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</xf>
    <xf numFmtId="0" fontId="11" fillId="13" borderId="12" xfId="0" applyFont="1" applyFill="1" applyBorder="1" applyAlignment="1" applyProtection="1">
      <alignment horizontal="center" vertical="center" wrapText="1"/>
    </xf>
    <xf numFmtId="0" fontId="18" fillId="13" borderId="48" xfId="0" quotePrefix="1" applyFont="1" applyFill="1" applyBorder="1" applyAlignment="1" applyProtection="1">
      <alignment horizontal="center" vertical="center" wrapText="1"/>
    </xf>
    <xf numFmtId="0" fontId="18" fillId="13" borderId="11" xfId="0" quotePrefix="1" applyFont="1" applyFill="1" applyBorder="1" applyAlignment="1" applyProtection="1">
      <alignment horizontal="center" vertical="center" wrapText="1"/>
    </xf>
    <xf numFmtId="0" fontId="18" fillId="13" borderId="12" xfId="0" quotePrefix="1" applyFont="1" applyFill="1" applyBorder="1" applyAlignment="1" applyProtection="1">
      <alignment horizontal="center" vertical="center" wrapText="1"/>
    </xf>
    <xf numFmtId="0" fontId="11" fillId="13" borderId="80" xfId="0" applyFont="1" applyFill="1" applyBorder="1" applyAlignment="1" applyProtection="1">
      <alignment horizontal="left" vertical="top" wrapText="1"/>
    </xf>
    <xf numFmtId="0" fontId="11" fillId="13" borderId="92" xfId="0" applyFont="1" applyFill="1" applyBorder="1" applyAlignment="1" applyProtection="1">
      <alignment horizontal="left" vertical="top" wrapText="1"/>
    </xf>
    <xf numFmtId="0" fontId="11" fillId="13" borderId="81" xfId="0" applyFont="1" applyFill="1" applyBorder="1" applyAlignment="1" applyProtection="1">
      <alignment horizontal="left" vertical="top" wrapText="1"/>
    </xf>
    <xf numFmtId="0" fontId="11" fillId="13" borderId="83" xfId="0" applyNumberFormat="1" applyFont="1" applyFill="1" applyBorder="1" applyAlignment="1" applyProtection="1">
      <alignment horizontal="left" vertical="top"/>
    </xf>
    <xf numFmtId="0" fontId="11" fillId="13" borderId="20" xfId="0" applyNumberFormat="1" applyFont="1" applyFill="1" applyBorder="1" applyAlignment="1" applyProtection="1">
      <alignment horizontal="left" vertical="top"/>
    </xf>
    <xf numFmtId="0" fontId="11" fillId="13" borderId="21" xfId="0" applyNumberFormat="1" applyFont="1" applyFill="1" applyBorder="1" applyAlignment="1" applyProtection="1">
      <alignment horizontal="left" vertical="top"/>
    </xf>
    <xf numFmtId="171" fontId="11" fillId="13" borderId="0" xfId="0" applyNumberFormat="1" applyFont="1" applyFill="1" applyBorder="1" applyAlignment="1" applyProtection="1">
      <alignment horizontal="left" vertical="center"/>
    </xf>
    <xf numFmtId="0" fontId="18" fillId="13" borderId="83" xfId="0" applyFont="1" applyFill="1" applyBorder="1" applyAlignment="1" applyProtection="1">
      <alignment horizontal="left" vertical="top" wrapText="1"/>
    </xf>
    <xf numFmtId="0" fontId="18" fillId="13" borderId="20" xfId="0" applyFont="1" applyFill="1" applyBorder="1" applyAlignment="1" applyProtection="1">
      <alignment horizontal="left" vertical="top" wrapText="1"/>
    </xf>
    <xf numFmtId="0" fontId="18" fillId="13" borderId="21" xfId="0" applyFont="1" applyFill="1" applyBorder="1" applyAlignment="1" applyProtection="1">
      <alignment horizontal="left" vertical="top" wrapText="1"/>
    </xf>
    <xf numFmtId="0" fontId="11" fillId="13" borderId="45" xfId="0" applyFont="1" applyFill="1" applyBorder="1" applyAlignment="1" applyProtection="1">
      <alignment horizontal="left" vertical="center"/>
    </xf>
    <xf numFmtId="0" fontId="24" fillId="0" borderId="40" xfId="0" applyFont="1" applyBorder="1" applyAlignment="1">
      <alignment horizontal="center"/>
    </xf>
    <xf numFmtId="0" fontId="24" fillId="13" borderId="91" xfId="0" applyFont="1" applyFill="1" applyBorder="1" applyAlignment="1" applyProtection="1">
      <alignment horizontal="center" vertical="center"/>
    </xf>
    <xf numFmtId="0" fontId="24" fillId="13" borderId="90" xfId="0" applyFont="1" applyFill="1" applyBorder="1" applyAlignment="1" applyProtection="1">
      <alignment horizontal="center" vertical="center"/>
    </xf>
    <xf numFmtId="44" fontId="11" fillId="13" borderId="18" xfId="0" applyNumberFormat="1" applyFont="1" applyFill="1" applyBorder="1" applyAlignment="1" applyProtection="1">
      <alignment horizontal="left" vertical="top"/>
    </xf>
    <xf numFmtId="44" fontId="11" fillId="13" borderId="19" xfId="0" applyNumberFormat="1" applyFont="1" applyFill="1" applyBorder="1" applyAlignment="1" applyProtection="1">
      <alignment horizontal="left" vertical="top"/>
    </xf>
    <xf numFmtId="44" fontId="11" fillId="13" borderId="20" xfId="0" applyNumberFormat="1" applyFont="1" applyFill="1" applyBorder="1" applyAlignment="1" applyProtection="1">
      <alignment horizontal="left" vertical="top"/>
    </xf>
    <xf numFmtId="0" fontId="11" fillId="13" borderId="100" xfId="0" applyFont="1" applyFill="1" applyBorder="1" applyAlignment="1" applyProtection="1">
      <alignment horizontal="right" vertical="center"/>
    </xf>
    <xf numFmtId="0" fontId="11" fillId="13" borderId="72" xfId="0" applyFont="1" applyFill="1" applyBorder="1" applyAlignment="1" applyProtection="1">
      <alignment horizontal="right" vertical="center"/>
    </xf>
    <xf numFmtId="0" fontId="100" fillId="13" borderId="82" xfId="0" applyFont="1" applyFill="1" applyBorder="1" applyAlignment="1" applyProtection="1">
      <alignment horizontal="center" vertical="center" wrapText="1"/>
    </xf>
    <xf numFmtId="0" fontId="100" fillId="13" borderId="34" xfId="0" applyFont="1" applyFill="1" applyBorder="1" applyAlignment="1" applyProtection="1">
      <alignment horizontal="center" vertical="center" wrapText="1"/>
    </xf>
    <xf numFmtId="0" fontId="100" fillId="13" borderId="89" xfId="0" applyFont="1" applyFill="1" applyBorder="1" applyAlignment="1" applyProtection="1">
      <alignment horizontal="center" vertical="center" wrapText="1"/>
    </xf>
    <xf numFmtId="0" fontId="9" fillId="13" borderId="77" xfId="0" applyFont="1" applyFill="1" applyBorder="1" applyAlignment="1" applyProtection="1">
      <alignment horizontal="left" vertical="center" wrapText="1"/>
    </xf>
    <xf numFmtId="0" fontId="9" fillId="13" borderId="11" xfId="0" applyFont="1" applyFill="1" applyBorder="1" applyAlignment="1" applyProtection="1">
      <alignment horizontal="left" vertical="center" wrapText="1"/>
    </xf>
    <xf numFmtId="0" fontId="9" fillId="13" borderId="78" xfId="0" applyFont="1" applyFill="1" applyBorder="1" applyAlignment="1" applyProtection="1">
      <alignment horizontal="left" vertical="center" wrapText="1"/>
    </xf>
    <xf numFmtId="0" fontId="11" fillId="13" borderId="32" xfId="0" applyFont="1" applyFill="1" applyBorder="1" applyAlignment="1" applyProtection="1">
      <alignment horizontal="justify" vertical="top" wrapText="1"/>
    </xf>
    <xf numFmtId="0" fontId="11" fillId="13" borderId="89" xfId="0" applyFont="1" applyFill="1" applyBorder="1" applyAlignment="1" applyProtection="1">
      <alignment horizontal="justify" vertical="top" wrapText="1"/>
    </xf>
    <xf numFmtId="0" fontId="80" fillId="13" borderId="32" xfId="0" applyFont="1" applyFill="1" applyBorder="1" applyAlignment="1" applyProtection="1">
      <alignment horizontal="center" wrapText="1"/>
    </xf>
    <xf numFmtId="0" fontId="80" fillId="13" borderId="89" xfId="0" applyFont="1" applyFill="1" applyBorder="1" applyAlignment="1" applyProtection="1">
      <alignment horizontal="center" wrapText="1"/>
    </xf>
    <xf numFmtId="0" fontId="11" fillId="13" borderId="42" xfId="0" applyFont="1" applyFill="1" applyBorder="1" applyAlignment="1" applyProtection="1">
      <alignment horizontal="right" vertical="center"/>
    </xf>
    <xf numFmtId="0" fontId="11" fillId="13" borderId="0" xfId="0" applyFont="1" applyFill="1" applyBorder="1" applyAlignment="1" applyProtection="1">
      <alignment horizontal="right" vertical="center"/>
    </xf>
    <xf numFmtId="44" fontId="18" fillId="13" borderId="83" xfId="0" applyNumberFormat="1" applyFont="1" applyFill="1" applyBorder="1" applyAlignment="1" applyProtection="1">
      <alignment horizontal="left" vertical="top" wrapText="1"/>
    </xf>
    <xf numFmtId="44" fontId="18" fillId="13" borderId="20" xfId="0" applyNumberFormat="1" applyFont="1" applyFill="1" applyBorder="1" applyAlignment="1" applyProtection="1">
      <alignment horizontal="left" vertical="top" wrapText="1"/>
    </xf>
    <xf numFmtId="44" fontId="18" fillId="13" borderId="21" xfId="0" applyNumberFormat="1" applyFont="1" applyFill="1" applyBorder="1" applyAlignment="1" applyProtection="1">
      <alignment horizontal="left" vertical="top"/>
    </xf>
    <xf numFmtId="0" fontId="11" fillId="13" borderId="94" xfId="0" applyFont="1" applyFill="1" applyBorder="1" applyAlignment="1" applyProtection="1">
      <alignment horizontal="left" vertical="top" wrapText="1"/>
    </xf>
    <xf numFmtId="0" fontId="11" fillId="13" borderId="24" xfId="0" applyFont="1" applyFill="1" applyBorder="1" applyAlignment="1" applyProtection="1">
      <alignment horizontal="left" vertical="top" wrapText="1"/>
    </xf>
    <xf numFmtId="0" fontId="11" fillId="13" borderId="17" xfId="0" applyFont="1" applyFill="1" applyBorder="1" applyAlignment="1" applyProtection="1">
      <alignment horizontal="left" vertical="top" wrapText="1"/>
    </xf>
    <xf numFmtId="0" fontId="11" fillId="13" borderId="44" xfId="0" applyFont="1" applyFill="1" applyBorder="1" applyAlignment="1" applyProtection="1">
      <alignment horizontal="right" vertical="center"/>
    </xf>
    <xf numFmtId="0" fontId="11" fillId="13" borderId="45" xfId="0" applyFont="1" applyFill="1" applyBorder="1" applyAlignment="1" applyProtection="1">
      <alignment horizontal="right" vertical="center"/>
    </xf>
    <xf numFmtId="0" fontId="11" fillId="13" borderId="72" xfId="0" applyFont="1" applyFill="1" applyBorder="1" applyAlignment="1" applyProtection="1">
      <alignment horizontal="left" vertical="center" wrapText="1"/>
    </xf>
    <xf numFmtId="0" fontId="19" fillId="0" borderId="0" xfId="1" applyNumberFormat="1" applyFont="1" applyBorder="1" applyAlignment="1" applyProtection="1">
      <alignment horizontal="center" vertical="center"/>
      <protection hidden="1"/>
    </xf>
    <xf numFmtId="0" fontId="6" fillId="0" borderId="42" xfId="1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6" fillId="0" borderId="43" xfId="1" applyFont="1" applyBorder="1" applyAlignment="1" applyProtection="1">
      <alignment horizontal="center" vertical="center"/>
      <protection hidden="1"/>
    </xf>
    <xf numFmtId="0" fontId="19" fillId="0" borderId="47" xfId="1" applyFont="1" applyBorder="1" applyAlignment="1" applyProtection="1">
      <alignment horizontal="center"/>
      <protection hidden="1"/>
    </xf>
    <xf numFmtId="0" fontId="18" fillId="0" borderId="0" xfId="1" applyFont="1" applyBorder="1" applyAlignment="1" applyProtection="1">
      <alignment horizontal="left" vertical="center"/>
      <protection hidden="1"/>
    </xf>
    <xf numFmtId="0" fontId="4" fillId="0" borderId="42" xfId="1" applyFont="1" applyBorder="1" applyAlignment="1" applyProtection="1">
      <alignment horizontal="center" vertical="center" wrapText="1"/>
      <protection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0" fontId="4" fillId="0" borderId="43" xfId="1" applyFont="1" applyBorder="1" applyAlignment="1" applyProtection="1">
      <alignment horizontal="center" vertical="center" wrapText="1"/>
      <protection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11" fillId="0" borderId="43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left" vertical="center"/>
      <protection hidden="1"/>
    </xf>
    <xf numFmtId="0" fontId="5" fillId="0" borderId="43" xfId="1" applyFont="1" applyBorder="1" applyAlignment="1" applyProtection="1">
      <alignment horizontal="left" vertical="center"/>
      <protection hidden="1"/>
    </xf>
    <xf numFmtId="0" fontId="11" fillId="0" borderId="0" xfId="1" quotePrefix="1" applyFont="1" applyBorder="1" applyAlignment="1" applyProtection="1">
      <alignment horizontal="center" vertical="center"/>
      <protection hidden="1"/>
    </xf>
    <xf numFmtId="0" fontId="18" fillId="0" borderId="42" xfId="1" applyFont="1" applyBorder="1" applyAlignment="1" applyProtection="1">
      <alignment horizontal="center" vertical="center"/>
      <protection hidden="1"/>
    </xf>
    <xf numFmtId="0" fontId="63" fillId="0" borderId="42" xfId="1" applyFont="1" applyBorder="1" applyAlignment="1" applyProtection="1">
      <alignment horizontal="center" vertical="center"/>
      <protection hidden="1"/>
    </xf>
    <xf numFmtId="0" fontId="63" fillId="0" borderId="0" xfId="1" applyFont="1" applyBorder="1" applyAlignment="1" applyProtection="1">
      <alignment horizontal="center" vertical="center"/>
      <protection hidden="1"/>
    </xf>
    <xf numFmtId="0" fontId="63" fillId="0" borderId="43" xfId="1" applyFont="1" applyBorder="1" applyAlignment="1" applyProtection="1">
      <alignment horizontal="center" vertical="center"/>
      <protection hidden="1"/>
    </xf>
    <xf numFmtId="0" fontId="84" fillId="0" borderId="0" xfId="1" applyFont="1" applyBorder="1" applyAlignment="1" applyProtection="1">
      <alignment horizontal="left" vertical="center"/>
      <protection hidden="1"/>
    </xf>
    <xf numFmtId="0" fontId="84" fillId="0" borderId="43" xfId="1" applyFont="1" applyBorder="1" applyAlignment="1" applyProtection="1">
      <alignment horizontal="left" vertical="center"/>
      <protection hidden="1"/>
    </xf>
    <xf numFmtId="0" fontId="156" fillId="0" borderId="42" xfId="1" applyFont="1" applyBorder="1" applyAlignment="1" applyProtection="1">
      <alignment horizontal="left" vertical="center" wrapText="1"/>
      <protection hidden="1"/>
    </xf>
    <xf numFmtId="0" fontId="156" fillId="0" borderId="0" xfId="1" applyFont="1" applyBorder="1" applyAlignment="1" applyProtection="1">
      <alignment horizontal="left" vertical="center" wrapText="1"/>
      <protection hidden="1"/>
    </xf>
    <xf numFmtId="0" fontId="156" fillId="0" borderId="43" xfId="1" applyFont="1" applyBorder="1" applyAlignment="1" applyProtection="1">
      <alignment horizontal="left" vertical="center" wrapText="1"/>
      <protection hidden="1"/>
    </xf>
    <xf numFmtId="0" fontId="152" fillId="0" borderId="52" xfId="8" applyFont="1" applyFill="1" applyBorder="1" applyAlignment="1" applyProtection="1">
      <alignment horizontal="center" vertical="center" wrapText="1"/>
      <protection hidden="1"/>
    </xf>
    <xf numFmtId="0" fontId="152" fillId="0" borderId="72" xfId="8" applyFont="1" applyFill="1" applyBorder="1" applyAlignment="1" applyProtection="1">
      <alignment horizontal="center" vertical="center" wrapText="1"/>
      <protection hidden="1"/>
    </xf>
    <xf numFmtId="0" fontId="152" fillId="0" borderId="13" xfId="8" applyFont="1" applyFill="1" applyBorder="1" applyAlignment="1" applyProtection="1">
      <alignment horizontal="center" vertical="center" wrapText="1"/>
      <protection hidden="1"/>
    </xf>
    <xf numFmtId="0" fontId="152" fillId="0" borderId="38" xfId="8" applyFont="1" applyFill="1" applyBorder="1" applyAlignment="1" applyProtection="1">
      <alignment horizontal="center" vertical="center" wrapText="1"/>
      <protection hidden="1"/>
    </xf>
    <xf numFmtId="0" fontId="152" fillId="0" borderId="31" xfId="8" applyFont="1" applyFill="1" applyBorder="1" applyAlignment="1" applyProtection="1">
      <alignment horizontal="center" vertical="center" wrapText="1"/>
      <protection hidden="1"/>
    </xf>
    <xf numFmtId="0" fontId="152" fillId="0" borderId="36" xfId="8" applyFont="1" applyFill="1" applyBorder="1" applyAlignment="1" applyProtection="1">
      <alignment horizontal="center" vertical="center" wrapText="1"/>
      <protection hidden="1"/>
    </xf>
    <xf numFmtId="0" fontId="146" fillId="0" borderId="147" xfId="8" applyFont="1" applyBorder="1" applyAlignment="1">
      <alignment horizontal="center" vertical="center" wrapText="1"/>
    </xf>
    <xf numFmtId="0" fontId="146" fillId="0" borderId="148" xfId="8" applyFont="1" applyBorder="1" applyAlignment="1">
      <alignment horizontal="center" vertical="center" wrapText="1"/>
    </xf>
    <xf numFmtId="0" fontId="146" fillId="0" borderId="149" xfId="8" applyFont="1" applyBorder="1" applyAlignment="1">
      <alignment horizontal="center" vertical="center" wrapText="1"/>
    </xf>
    <xf numFmtId="0" fontId="146" fillId="0" borderId="150" xfId="8" applyFont="1" applyBorder="1" applyAlignment="1">
      <alignment horizontal="center" vertical="center" wrapText="1"/>
    </xf>
    <xf numFmtId="0" fontId="146" fillId="0" borderId="0" xfId="8" applyFont="1" applyBorder="1" applyAlignment="1">
      <alignment horizontal="center" vertical="center" wrapText="1"/>
    </xf>
    <xf numFmtId="0" fontId="146" fillId="0" borderId="151" xfId="8" applyFont="1" applyBorder="1" applyAlignment="1">
      <alignment horizontal="center" vertical="center" wrapText="1"/>
    </xf>
    <xf numFmtId="0" fontId="146" fillId="0" borderId="137" xfId="8" applyFont="1" applyBorder="1" applyAlignment="1">
      <alignment horizontal="center" vertical="center" wrapText="1"/>
    </xf>
    <xf numFmtId="0" fontId="146" fillId="0" borderId="152" xfId="8" applyFont="1" applyBorder="1" applyAlignment="1">
      <alignment horizontal="center" vertical="center" wrapText="1"/>
    </xf>
    <xf numFmtId="0" fontId="146" fillId="0" borderId="153" xfId="8" applyFont="1" applyBorder="1" applyAlignment="1">
      <alignment horizontal="center" vertical="center" wrapText="1"/>
    </xf>
  </cellXfs>
  <cellStyles count="9">
    <cellStyle name="20% - Accent4" xfId="6" builtinId="42"/>
    <cellStyle name="Bad" xfId="7" builtinId="27"/>
    <cellStyle name="Comma 2" xfId="4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4" xfId="5" xr:uid="{00000000-0005-0000-0000-000006000000}"/>
    <cellStyle name="Normal 5" xfId="8" xr:uid="{00000000-0005-0000-0000-000007000000}"/>
    <cellStyle name="Percent 2" xfId="3" xr:uid="{00000000-0005-0000-0000-000008000000}"/>
  </cellStyles>
  <dxfs count="45">
    <dxf>
      <font>
        <color theme="0"/>
      </font>
    </dxf>
    <dxf>
      <font>
        <color theme="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rgb="FF7030A0"/>
      </font>
    </dxf>
    <dxf>
      <font>
        <color rgb="FF002060"/>
      </font>
    </dxf>
    <dxf>
      <font>
        <color theme="1"/>
      </font>
    </dxf>
    <dxf>
      <font>
        <color theme="0"/>
      </font>
      <fill>
        <patternFill patternType="solid">
          <fgColor auto="1"/>
          <bgColor rgb="FF7030A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 style="thin">
          <color auto="1"/>
        </bottom>
      </border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rgb="FFFF0000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7"/>
        </patternFill>
      </fill>
    </dxf>
    <dxf>
      <font>
        <strike val="0"/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0"/>
      </font>
      <fill>
        <patternFill>
          <bgColor theme="1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4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rgb="FFFF000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B3354"/>
      <color rgb="FFD6630C"/>
      <color rgb="FF9954CC"/>
      <color rgb="FFF68A1E"/>
      <color rgb="FFFFFF33"/>
      <color rgb="FF0053FA"/>
      <color rgb="FFA86ED4"/>
      <color rgb="FF893AC4"/>
      <color rgb="FF4F8AFF"/>
      <color rgb="FFFCA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 /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 /><Relationship Id="rId1" Type="http://schemas.openxmlformats.org/officeDocument/2006/relationships/hyperlink" Target="https://www.youtube.com/channel/UC_NMRLXroioEG1J-h7CAn9w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0</xdr:row>
      <xdr:rowOff>21166</xdr:rowOff>
    </xdr:from>
    <xdr:to>
      <xdr:col>2</xdr:col>
      <xdr:colOff>1171575</xdr:colOff>
      <xdr:row>0</xdr:row>
      <xdr:rowOff>219076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>
          <a:off x="3277658" y="21166"/>
          <a:ext cx="1160992" cy="197910"/>
        </a:xfrm>
        <a:prstGeom prst="flowChartAlternateProcess">
          <a:avLst/>
        </a:prstGeom>
        <a:noFill/>
        <a:ln>
          <a:noFill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te-IN" sz="1400" b="1">
              <a:ln>
                <a:solidFill>
                  <a:schemeClr val="bg1"/>
                </a:solidFill>
              </a:ln>
              <a:solidFill>
                <a:schemeClr val="bg1"/>
              </a:solidFill>
              <a:effectLst/>
            </a:rPr>
            <a:t>YOUR TAX IS</a:t>
          </a:r>
          <a:endParaRPr lang="en-US" sz="1400" b="1">
            <a:ln>
              <a:solidFill>
                <a:schemeClr val="bg1"/>
              </a:solidFill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9</xdr:col>
      <xdr:colOff>180976</xdr:colOff>
      <xdr:row>19</xdr:row>
      <xdr:rowOff>123825</xdr:rowOff>
    </xdr:from>
    <xdr:to>
      <xdr:col>9</xdr:col>
      <xdr:colOff>468976</xdr:colOff>
      <xdr:row>22</xdr:row>
      <xdr:rowOff>165450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62059" y="1573742"/>
          <a:ext cx="288000" cy="771875"/>
        </a:xfrm>
        <a:prstGeom prst="rightBrace">
          <a:avLst/>
        </a:prstGeom>
        <a:noFill/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16</xdr:col>
      <xdr:colOff>401477</xdr:colOff>
      <xdr:row>45</xdr:row>
      <xdr:rowOff>127849</xdr:rowOff>
    </xdr:from>
    <xdr:to>
      <xdr:col>19</xdr:col>
      <xdr:colOff>212882</xdr:colOff>
      <xdr:row>51</xdr:row>
      <xdr:rowOff>154193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5502" y="12338899"/>
          <a:ext cx="1554480" cy="1626544"/>
        </a:xfrm>
        <a:prstGeom prst="rect">
          <a:avLst/>
        </a:prstGeom>
      </xdr:spPr>
    </xdr:pic>
    <xdr:clientData/>
  </xdr:twoCellAnchor>
  <xdr:twoCellAnchor editAs="oneCell">
    <xdr:from>
      <xdr:col>18</xdr:col>
      <xdr:colOff>8347</xdr:colOff>
      <xdr:row>83</xdr:row>
      <xdr:rowOff>121697</xdr:rowOff>
    </xdr:from>
    <xdr:to>
      <xdr:col>19</xdr:col>
      <xdr:colOff>435303</xdr:colOff>
      <xdr:row>87</xdr:row>
      <xdr:rowOff>152177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5F44AFF4-EF21-8E4A-8E95-9EE6E4F6D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4422" y="22429247"/>
          <a:ext cx="1007981" cy="1097280"/>
        </a:xfrm>
        <a:prstGeom prst="rect">
          <a:avLst/>
        </a:prstGeom>
      </xdr:spPr>
    </xdr:pic>
    <xdr:clientData/>
  </xdr:twoCellAnchor>
  <xdr:twoCellAnchor>
    <xdr:from>
      <xdr:col>8</xdr:col>
      <xdr:colOff>70135</xdr:colOff>
      <xdr:row>12</xdr:row>
      <xdr:rowOff>220114</xdr:rowOff>
    </xdr:from>
    <xdr:to>
      <xdr:col>8</xdr:col>
      <xdr:colOff>603535</xdr:colOff>
      <xdr:row>14</xdr:row>
      <xdr:rowOff>28979</xdr:rowOff>
    </xdr:to>
    <xdr:sp macro="" textlink="">
      <xdr:nvSpPr>
        <xdr:cNvPr id="8" name="Notched Right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05635" y="3649114"/>
          <a:ext cx="533400" cy="300990"/>
        </a:xfrm>
        <a:prstGeom prst="notchedRightArrow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26987</xdr:colOff>
      <xdr:row>2</xdr:row>
      <xdr:rowOff>12700</xdr:rowOff>
    </xdr:from>
    <xdr:to>
      <xdr:col>4</xdr:col>
      <xdr:colOff>1</xdr:colOff>
      <xdr:row>8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835187" y="994920"/>
          <a:ext cx="216229" cy="1502724"/>
          <a:chOff x="4533900" y="2243503"/>
          <a:chExt cx="185810" cy="1726517"/>
        </a:xfrm>
      </xdr:grpSpPr>
      <xdr:sp macro="" textlink="">
        <xdr:nvSpPr>
          <xdr:cNvPr id="7" name="Right Arrow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4536830" y="2243503"/>
            <a:ext cx="182880" cy="274320"/>
          </a:xfrm>
          <a:prstGeom prst="rightArrow">
            <a:avLst/>
          </a:prstGeom>
        </xdr:spPr>
        <xdr:style>
          <a:lnRef idx="3">
            <a:schemeClr val="lt1"/>
          </a:lnRef>
          <a:fillRef idx="1">
            <a:schemeClr val="dk1"/>
          </a:fillRef>
          <a:effectRef idx="1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ight Arrow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4533900" y="3695700"/>
            <a:ext cx="182880" cy="274320"/>
          </a:xfrm>
          <a:prstGeom prst="rightArrow">
            <a:avLst/>
          </a:prstGeom>
        </xdr:spPr>
        <xdr:style>
          <a:lnRef idx="3">
            <a:schemeClr val="lt1"/>
          </a:lnRef>
          <a:fillRef idx="1">
            <a:schemeClr val="dk1"/>
          </a:fillRef>
          <a:effectRef idx="1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655968</xdr:colOff>
      <xdr:row>1</xdr:row>
      <xdr:rowOff>53915</xdr:rowOff>
    </xdr:from>
    <xdr:to>
      <xdr:col>6</xdr:col>
      <xdr:colOff>659204</xdr:colOff>
      <xdr:row>3</xdr:row>
      <xdr:rowOff>68652</xdr:rowOff>
    </xdr:to>
    <xdr:pic>
      <xdr:nvPicPr>
        <xdr:cNvPr id="2" name="Picture 1" descr="watc-you-tub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94593" y="111065"/>
          <a:ext cx="3236" cy="452887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R141"/>
  <sheetViews>
    <sheetView showGridLines="0" showRowColHeaders="0" tabSelected="1" zoomScaleNormal="100" zoomScaleSheetLayoutView="100" workbookViewId="0" xr3:uid="{AEA406A1-0E4B-5B11-9CD5-51D6E497D94C}">
      <pane ySplit="1" topLeftCell="A2" activePane="bottomLeft" state="frozen"/>
      <selection activeCell="M1" sqref="M1"/>
      <selection pane="bottomLeft" activeCell="B2" sqref="B2"/>
    </sheetView>
  </sheetViews>
  <sheetFormatPr defaultRowHeight="18.75" x14ac:dyDescent="0.25"/>
  <cols>
    <col min="1" max="1" width="1.34375" customWidth="1"/>
    <col min="2" max="2" width="47.75390625" style="2" customWidth="1"/>
    <col min="3" max="3" width="18.6953125" style="1" customWidth="1"/>
    <col min="4" max="4" width="3.359375" customWidth="1"/>
    <col min="5" max="5" width="11.703125" style="543" hidden="1" customWidth="1"/>
    <col min="6" max="6" width="11.703125" style="544" hidden="1" customWidth="1"/>
    <col min="7" max="7" width="11.703125" style="545" hidden="1" customWidth="1"/>
    <col min="8" max="8" width="3.765625" style="575" hidden="1" customWidth="1"/>
    <col min="9" max="9" width="9.68359375" customWidth="1"/>
    <col min="10" max="10" width="9.28125" customWidth="1"/>
    <col min="11" max="21" width="8.7421875" customWidth="1"/>
    <col min="22" max="25" width="8.7421875" style="240" hidden="1" customWidth="1"/>
    <col min="26" max="26" width="8.7421875" style="239" hidden="1" customWidth="1"/>
    <col min="27" max="34" width="8.7421875" style="232" hidden="1" customWidth="1"/>
    <col min="35" max="36" width="10.76171875" style="232" hidden="1" customWidth="1"/>
    <col min="37" max="37" width="8.7421875" style="232" hidden="1" customWidth="1"/>
    <col min="38" max="38" width="8.7421875" style="239" hidden="1" customWidth="1"/>
    <col min="39" max="39" width="8.7421875" style="232" hidden="1" customWidth="1"/>
    <col min="40" max="43" width="8.7421875" style="240" hidden="1" customWidth="1"/>
    <col min="44" max="88" width="9.14453125" customWidth="1"/>
  </cols>
  <sheetData>
    <row r="1" spans="2:44" s="131" customFormat="1" ht="57" customHeight="1" x14ac:dyDescent="0.25">
      <c r="B1" s="571" t="str">
        <f>IF(C19="","● MobileTAX_2018 ●
works with MS EXCEL android app also",
CONCATENATE("● MobileTAX_2018 ●
works with MS EXCEL android app also
Suggested Rent @ Rs.   →    ",CEILING(('ANNEXURE II'!H9+'ANNEXURE II'!G9)/12,100),"    ←"))</f>
        <v>● MobileTAX_2018 ●
works with MS EXCEL android app also</v>
      </c>
      <c r="C1" s="467" t="str">
        <f>IF(B2="","",IF(C99="NO TAX",0,IF(C99&lt;0,C99,IF(C99&gt;0,C99))))</f>
        <v/>
      </c>
      <c r="E1" s="548"/>
      <c r="F1" s="595" t="s">
        <v>672</v>
      </c>
      <c r="G1" s="590" t="s">
        <v>674</v>
      </c>
      <c r="H1" s="549"/>
      <c r="I1" s="518" t="s">
        <v>656</v>
      </c>
      <c r="J1" s="519" t="s">
        <v>644</v>
      </c>
      <c r="K1" s="520" t="s">
        <v>394</v>
      </c>
      <c r="L1" s="520" t="s">
        <v>395</v>
      </c>
      <c r="M1" s="520" t="str">
        <f>IF(C14="CPS","CPS
NPS","ZPPF
GPF")</f>
        <v>ZPPF
GPF</v>
      </c>
      <c r="N1" s="520" t="str">
        <f>IF(C14="CPS","CPS
LOAN","ZPPF
LOAN")</f>
        <v>ZPPF
LOAN</v>
      </c>
      <c r="O1" s="520" t="s">
        <v>298</v>
      </c>
      <c r="P1" s="520" t="s">
        <v>7</v>
      </c>
      <c r="Q1" s="520" t="s">
        <v>653</v>
      </c>
      <c r="R1" s="521" t="s">
        <v>657</v>
      </c>
      <c r="S1" s="523" t="s">
        <v>663</v>
      </c>
      <c r="T1" s="522" t="s">
        <v>659</v>
      </c>
      <c r="U1" s="608" t="str">
        <f>J1</f>
        <v>2017-18
MONTH</v>
      </c>
      <c r="V1" s="528" t="s">
        <v>388</v>
      </c>
      <c r="W1" s="222" t="s">
        <v>389</v>
      </c>
      <c r="X1" s="223" t="s">
        <v>2</v>
      </c>
      <c r="Y1" s="290" t="s">
        <v>402</v>
      </c>
      <c r="Z1" s="223" t="s">
        <v>380</v>
      </c>
      <c r="AA1" s="222" t="s">
        <v>398</v>
      </c>
      <c r="AB1" s="223" t="s">
        <v>381</v>
      </c>
      <c r="AC1" s="222" t="s">
        <v>382</v>
      </c>
      <c r="AD1" s="289"/>
      <c r="AE1" s="223" t="s">
        <v>2</v>
      </c>
      <c r="AF1" s="316" t="s">
        <v>384</v>
      </c>
      <c r="AG1" s="289"/>
      <c r="AH1" s="310" t="s">
        <v>408</v>
      </c>
      <c r="AI1" s="290" t="s">
        <v>401</v>
      </c>
      <c r="AJ1" s="316" t="s">
        <v>411</v>
      </c>
      <c r="AK1" s="287" t="s">
        <v>5</v>
      </c>
      <c r="AL1" s="225" t="s">
        <v>0</v>
      </c>
      <c r="AM1" s="225" t="s">
        <v>1</v>
      </c>
      <c r="AN1" s="225" t="s">
        <v>3</v>
      </c>
      <c r="AO1" s="225" t="s">
        <v>54</v>
      </c>
      <c r="AP1" s="224" t="s">
        <v>226</v>
      </c>
      <c r="AQ1" s="226" t="s">
        <v>400</v>
      </c>
    </row>
    <row r="2" spans="2:44" ht="20.100000000000001" customHeight="1" x14ac:dyDescent="0.3">
      <c r="B2" s="603"/>
      <c r="C2" s="441" t="s">
        <v>307</v>
      </c>
      <c r="E2" s="550"/>
      <c r="F2" s="551">
        <f>K2*C31</f>
        <v>0</v>
      </c>
      <c r="G2" s="589">
        <f>IF(F2=0,0,F2/K2)</f>
        <v>0</v>
      </c>
      <c r="H2" s="552"/>
      <c r="I2" s="514">
        <v>0.15196000000000001</v>
      </c>
      <c r="J2" s="597" t="str">
        <f>INFO!AM32</f>
        <v>Mar-2017</v>
      </c>
      <c r="K2" s="596">
        <f t="shared" ref="K2:K13" si="0">AI2</f>
        <v>0</v>
      </c>
      <c r="L2" s="598">
        <f>G2</f>
        <v>0</v>
      </c>
      <c r="M2" s="602">
        <f>IF(C14="GPF",AP2,IF(C14="CPS",'ANNEXURE I'!M5,0))</f>
        <v>0</v>
      </c>
      <c r="N2" s="599">
        <f>IF(C14="GPF",C61,0)</f>
        <v>0</v>
      </c>
      <c r="O2" s="602">
        <f>IF(C65="YES",1350,0)</f>
        <v>0</v>
      </c>
      <c r="P2" s="599">
        <f>C69</f>
        <v>0</v>
      </c>
      <c r="Q2" s="602">
        <f>IF(C73="YES",C74,0)</f>
        <v>0</v>
      </c>
      <c r="R2" s="600"/>
      <c r="S2" s="601"/>
      <c r="T2" s="601"/>
      <c r="U2" s="609" t="str">
        <f>J2</f>
        <v>Mar-2017</v>
      </c>
      <c r="V2" s="511">
        <f t="shared" ref="V2:V13" si="1">I2</f>
        <v>0.15196000000000001</v>
      </c>
      <c r="W2" s="216">
        <f>C31</f>
        <v>0</v>
      </c>
      <c r="X2" s="455" t="str">
        <f>AM32</f>
        <v>Mar-2017</v>
      </c>
      <c r="Y2" s="227">
        <f>C19</f>
        <v>0</v>
      </c>
      <c r="Z2" s="228">
        <f>C20</f>
        <v>0</v>
      </c>
      <c r="AA2" s="229" t="str">
        <f>IF(X2=AB2,"YES","")</f>
        <v/>
      </c>
      <c r="AB2" s="230" t="str">
        <f>IF(C21="YES",C22,"")</f>
        <v/>
      </c>
      <c r="AC2" s="231" t="str">
        <f>IF(AA2="YES",C23,"")</f>
        <v/>
      </c>
      <c r="AD2" s="293">
        <f>C19</f>
        <v>0</v>
      </c>
      <c r="AE2" s="456" t="str">
        <f>AM32</f>
        <v>Mar-2017</v>
      </c>
      <c r="AF2" s="286"/>
      <c r="AG2" s="291">
        <f>Y2</f>
        <v>0</v>
      </c>
      <c r="AH2" s="292">
        <f>Y2</f>
        <v>0</v>
      </c>
      <c r="AI2" s="311">
        <f>IF(AND(C24="YES",C25=AE2),ROUND((AH2/AI19)*AI20,0),AH2)</f>
        <v>0</v>
      </c>
      <c r="AJ2" s="404">
        <f>AF2/AE19*AI20</f>
        <v>0</v>
      </c>
      <c r="AK2" s="288">
        <f>C38</f>
        <v>0</v>
      </c>
      <c r="AL2" s="233">
        <f>C41</f>
        <v>0</v>
      </c>
      <c r="AM2" s="233">
        <f>C44</f>
        <v>0</v>
      </c>
      <c r="AN2" s="233">
        <f>C47</f>
        <v>0</v>
      </c>
      <c r="AO2" s="233">
        <f>C50</f>
        <v>0</v>
      </c>
      <c r="AP2" s="233">
        <f>C58</f>
        <v>0</v>
      </c>
      <c r="AQ2" s="234">
        <v>13000</v>
      </c>
      <c r="AR2" s="285"/>
    </row>
    <row r="3" spans="2:44" ht="20.100000000000001" customHeight="1" x14ac:dyDescent="0.3">
      <c r="B3" s="604"/>
      <c r="C3" s="441" t="s">
        <v>308</v>
      </c>
      <c r="E3" s="550"/>
      <c r="F3" s="551">
        <f>IF(AND(F31="YES",C32=J3),K3*C31/F33*E31+K3*C33/F33*E33,IF(AND(F31="YES",F32&lt;=4),K3*C33,K3*C31))</f>
        <v>0</v>
      </c>
      <c r="G3" s="589">
        <f t="shared" ref="G3:G13" si="2">IF(F3=0,0,F3/K3)</f>
        <v>0</v>
      </c>
      <c r="H3" s="552"/>
      <c r="I3" s="515">
        <v>0.18340000000000001</v>
      </c>
      <c r="J3" s="597" t="str">
        <f>INFO!AM33</f>
        <v>Apr-2017</v>
      </c>
      <c r="K3" s="596">
        <f t="shared" si="0"/>
        <v>0</v>
      </c>
      <c r="L3" s="598">
        <f t="shared" ref="L3:L13" si="3">G3</f>
        <v>0</v>
      </c>
      <c r="M3" s="602">
        <f>IF(C14="GPF",AP3,IF(C14="CPS",'ANNEXURE I'!M6,0))</f>
        <v>0</v>
      </c>
      <c r="N3" s="599">
        <f>IF(AND(C14="GPF",C62=J3),C63,N2)</f>
        <v>0</v>
      </c>
      <c r="O3" s="602">
        <f>IF(C65="YES",(O2*C66)/30,0)</f>
        <v>0</v>
      </c>
      <c r="P3" s="599">
        <f>IF(C69&gt;0,ROUND((P2*C70)/30,0),0)</f>
        <v>0</v>
      </c>
      <c r="Q3" s="602">
        <f>IF(AND(C73="YES",C75=J3),C76,Q2)</f>
        <v>0</v>
      </c>
      <c r="R3" s="600"/>
      <c r="S3" s="601"/>
      <c r="T3" s="601"/>
      <c r="U3" s="609" t="str">
        <f t="shared" ref="U3:U13" si="4">J3</f>
        <v>Apr-2017</v>
      </c>
      <c r="V3" s="511">
        <f t="shared" si="1"/>
        <v>0.18340000000000001</v>
      </c>
      <c r="W3" s="216">
        <f>IF(AND(C32=X3),C33,W2)</f>
        <v>0</v>
      </c>
      <c r="X3" s="455" t="str">
        <f t="shared" ref="X3:X15" si="5">AM33</f>
        <v>Apr-2017</v>
      </c>
      <c r="Y3" s="235">
        <f>IF(AND(X3=Z3,Y2&gt;=13000,Y2&lt;14170),(Y2+390),IF(AND(X3=Z3,Y2&gt;=14170,Y2&lt;15460),(Y2+430),IF(AND(X3=Z3,Y2&gt;=15460,Y2&lt;16870),(Y2+470),
IF(AND(X3=Z3,Y2&gt;=16870,Y2&lt;18400),(Y2+510),IF(AND(X3=Z3,Y2&gt;=18400,Y2&lt;20050),(Y2+550),IF(AND(X3=Z3,Y2&gt;=20050,Y2&lt;21820),(Y2+590),
IF(AND(X3=Z3,Y2&gt;=21820,Y2&lt;23740),(Y2+640),IF(AND(X3=Z3,Y2&gt;=23740,Y2&lt;25840),(Y2+700),IF(AND(X3=Z3,Y2&gt;=25840,Y2&lt;28120),(Y2+760),
IF(AND(X3=Z3,Y2&gt;=28120,Y2&lt;30580),(Y2+820),IF(AND(X3=Z3,Y2&gt;=30580,Y2&lt;33220),(Y2+880),IF(AND(X3=Z3,Y2&gt;=33220,Y2&lt;36070),(Y2+950),
IF(AND(X3=Z3,Y2&gt;=36070,Y2&lt;39160),(Y2+1030),IF(AND(X3=Z3,Y2&gt;=39160,Y2&lt;42490),(Y2+1110),IF(AND(X3=Z3,Y2&gt;=42490,Y2&lt;46060),(Y2+1190),
IF(AND(X3=Z3,Y2&gt;=46060,Y2&lt;49870),(Y2+1270),IF(AND(X3=Z3,Y2&gt;=49870,Y2&lt;53950),(Y2+1360),IF(AND(X3=Z3,Y2&gt;=53950,Y2&lt;58330),(Y2+1460),
IF(AND(X3=Z3,Y2&gt;=58330,Y2&lt;63010),(Y2+1560),IF(AND(X3=Z3,Y2&gt;=63010,Y2&lt;67990),(Y2+1660),IF(AND(X3=Z3,Y2&gt;=67990,Y2&lt;73270),(Y2+1760),
IF(AND(X3=Z3,Y2&gt;=73270,Y2&lt;78910),(Y2+1880),IF(AND(X3=Z3,Y2&gt;=78910,Y2&lt;84970),(Y2+2020),IF(AND(X3=Z3,Y2&gt;=84970,Y2&lt;91450),(Y2+2160),
IF(AND(X3=Z3,Y2&gt;=91450,Y2&lt;100770),(Y2+2330),IF(AND(X3=Z3,Y2&gt;=100770,Y2&lt;110850),(Y2+2520),Y2))))))))))))))))))))))))))</f>
        <v>0</v>
      </c>
      <c r="Z3" s="228">
        <f>C20</f>
        <v>0</v>
      </c>
      <c r="AA3" s="229" t="str">
        <f t="shared" ref="AA3:AA15" si="6">IF(X3=AB3,"YES","")</f>
        <v/>
      </c>
      <c r="AB3" s="230" t="str">
        <f t="shared" ref="AB3:AB15" si="7">AB2</f>
        <v/>
      </c>
      <c r="AC3" s="231" t="str">
        <f>IF(AA3="YES",C23,"")</f>
        <v/>
      </c>
      <c r="AD3" s="236">
        <f t="shared" ref="AD3:AD7" si="8">IF(AND(X3=Z3,AD2&gt;=13000,AD2&lt;14170),(AD2+390),IF(AND(X3=Z3,AD2&gt;=14170,AD2&lt;15460),(AD2+430),IF(AND(X3=Z3,AD2&gt;=15460,AD2&lt;16870),(AD2+470),IF(AND(X3=Z3,AD2&gt;=16870,AD2&lt;18400),(AD2+510),IF(AND(X3=Z3,AD2&gt;=18400,AD2&lt;20050),(AD2+550),IF(AND(X3=Z3,AD2&gt;=20050,AD2&lt;21820),(AD2+590),IF(AND(X3=Z3,AD2&gt;=21820,AD2&lt;23740),(AD2+640),IF(AND(X3=Z3,AD2&gt;=23740,AD2&lt;25840),(AD2+700),IF(AND(X3=Z3,AD2&gt;=25840,AD2&lt;28120),(AD2+760),IF(AND(X3=Z3,AD2&gt;=28120,AD2&lt;30580),(AD2+820),IF(AND(X3=Z3,AD2&gt;=30580,AD2&lt;33220),(AD2+880),IF(AND(X3=Z3,AD2&gt;=33220,AD2&lt;36070),(AD2+950),IF(AND(X3=Z3,AD2&gt;=36070,AD2&lt;39160),(AD2+1030),IF(AND(X3=Z3,AD2&gt;=39160,AD2&lt;42490),(AD2+1110),IF(AND(X3=Z3,AD2&gt;=42490,AD2&lt;46060),(AD2+1190),IF(AND(X3=Z3,AD2&gt;=46060,AD2&lt;49870),(AD2+1270),IF(AND(X3=Z3,AD2&gt;=49870,AD2&lt;53950),(AD2+1360),IF(AND(X3=Z3,AD2&gt;=53950,AD2&lt;58330),(AD2+1460),IF(AND(X3=Z3,AD2&gt;=58330,AD2&lt;63010),(AD2+1560),IF(AND(X3=Z3,AD2&gt;=63010,AD2&lt;67990),(AD2+1660),IF(AND(X3=Z3,AD2&gt;=67990,AD2&lt;73270),(AD2+1760),IF(AND(X3=Z3,AD2&gt;=73270,AD2&lt;78910),(AD2+1880),IF(AND(X3=Z3,AD2&gt;=78910,AD2&lt;84970),(AD2+2020),IF(AND(X3=Z3,AD2&gt;=84970,AD2&lt;91450),(AD2+2160),IF(AND(X3=Z3,AD2&gt;=91450,AD2&lt;100770),(AD2+2330),IF(AND(X3=Z3,AD2&gt;=100770,AD2&lt;110850),(AD2+2520),IF(AND(AA2="YES",AD2&gt;=13000,AD2&lt;14170),(AD2+390),IF(AND(AA2="YES",AD2&gt;=14170,AD2&lt;15460),(AD2+430),IF(AND(AA2="YES",AD2&gt;=15460,AD2&lt;16870),(AD2+470),IF(AND(AA2="YES",AD2&gt;=16870,AD2&lt;18400),(AD2+510),IF(AND(AA2="YES",AD2&gt;=18400,AD2&lt;20050),(AD2+550),IF(AND(AA2="YES",AD2&gt;=20050,AD2&lt;21820),(AD2+590),IF(AND(AA2="YES",AD2&gt;=21820,AD2&lt;23740),(AD2+640),IF(AND(AA2="YES",AD2&gt;=23740,AD2&lt;25840),(AD2+700),IF(AND(AA2="YES",AD2&gt;=25840,AD2&lt;28120),(AD2+760),IF(AND(AA2="YES",AD2&gt;=28120,AD2&lt;30580),(AD2+820),IF(AND(AA2="YES",AD2&gt;=30580,AD2&lt;33220),(AD2+880),IF(AND(AA2="YES",AD2&gt;=33220,AD2&lt;36070),(AD2+950),IF(AND(AA2="YES",AD2&gt;=36070,AD2&lt;39160),(AD2+1030),IF(AND(AA2="YES",AD2&gt;=39160,AD2&lt;42490),(AD2+1110),IF(AND(AA2="YES",AD2&gt;=42490,AD2&lt;46060),(AD2+1190),IF(AND(AA2="YES",AD2&gt;=46060,AD2&lt;49870),(AD2+1270),IF(AND(AA2="YES",AD2&gt;=49870,AD2&lt;53950),(AD2+1360),IF(AND(AA2="YES",AD2&gt;=53950,AD2&lt;58330),(AD2+1460),IF(AND(AA2="YES",AD2&gt;=58330,AD2&lt;63010),(AD2+1560),IF(AND(AA2="YES",AD2&gt;=63010,AD2&lt;67990),(AD2+1660),IF(AND(AA2="YES",AD2&gt;=67990,AD2&lt;73270),(AD2+1760),IF(AND(AA2="YES",AD2&gt;=73270,AD2&lt;78910),(AD2+1880),IF(AND(AA2="YES",AD2&gt;=78910,AD2&lt;84970),(AD2+2020),IF(AND(AA2="YES",AD2&gt;=84970,AD2&lt;91450),(AD2+2160),IF(AND(AA2="YES",AD2&gt;=91450,AD2&lt;100770),(AD2+2330),IF(AND(AA2="YES",AD2&gt;=100770,AD2&lt;110850),(AD2+2520),AD2))))))))))))))))))))))))))))))))))))))))))))))))))))</f>
        <v>0</v>
      </c>
      <c r="AE3" s="456" t="str">
        <f t="shared" ref="AE3:AE15" si="9">AM33</f>
        <v>Apr-2017</v>
      </c>
      <c r="AF3" s="403">
        <f>IF(AA3="YES",(AD4-AD3)/AE19*AE20,0)</f>
        <v>0</v>
      </c>
      <c r="AG3" s="291">
        <f>IF(AND(AA2="YES",Y3&gt;=13000,Y3&lt;14170),(Y3+390),IF(AND(AA2="YES",Y3&gt;=14170,Y3&lt;15460),(Y3+430),IF(AND(AA2="YES",Y3&gt;=15460,Y3&lt;16870),(Y3+470),IF(AND(AA2="YES",Y3&gt;=16870,Y3&lt;18400),(Y3+510),IF(AND(AA2="YES",Y3&gt;=18400,Y3&lt;20050),(Y3+550),IF(AND(AA2="YES",Y3&gt;=20050,Y3&lt;21820),(Y3+590),IF(AND(AA2="YES",Y3&gt;=21820,Y3&lt;23740),(Y3+640),IF(AND(AA2="YES",Y3&gt;=23740,Y3&lt;25840),(Y3+700),IF(AND(AA2="YES",Y3&gt;=25840,Y3&lt;28120),(Y3+760),IF(AND(AA2="YES",Y3&gt;=28120,Y3&lt;30580),(Y3+820),IF(AND(AA2="YES",Y3&gt;=30580,Y3&lt;33220),(Y3+880),IF(AND(AA2="YES",Y3&gt;=33220,Y3&lt;36070),(Y3+950),IF(AND(AA2="YES",Y3&gt;=36070,Y3&lt;39160),(Y3+1030),IF(AND(AA2="YES",Y3&gt;=39160,Y3&lt;42490),(Y3+1110),IF(AND(AA2="YES",Y3&gt;=42490,Y3&lt;46060),(Y3+1190),IF(AND(AA2="YES",Y3&gt;=46060,Y3&lt;49870),(Y3+1270),IF(AND(AA2="YES",Y3&gt;=49870,Y3&lt;53950),(Y3+1360),IF(AND(AA2="YES",Y3&gt;=53950,Y3&lt;58330),(Y3+1460),IF(AND(AA2="YES",Y3&gt;=58330,Y3&lt;63010),(Y3+1560),IF(AND(AA2="YES",Y3&gt;=63010,Y3&lt;67990),(Y3+1660),IF(AND(AA2="YES",Y3&gt;=67990,Y3&lt;73270),(Y3+1760),IF(AND(AA2="YES",Y3&gt;=73270,Y3&lt;78910),(Y3+1880),IF(AND(AA2="YES",Y3&gt;=78910,Y3&lt;84970),(Y3+2020),IF(AND(AA2="YES",Y3&gt;=84970,Y3&lt;91450),(Y3+2160),IF(AND(AA2="YES",Y3&gt;=91450,Y3&lt;100770),(Y3+2330),IF(AND(AA2="YES",Y3&gt;=100770,Y3&lt;110850),(Y3+2520),IF(AND(AA3="YES",Y3&gt;=13000,Y3&lt;14170),(Y3+390),IF(AND(AA3="YES",Y3&gt;=14170,Y3&lt;15460),(Y3+430),IF(AND(AA3="YES",Y3&gt;=15460,Y3&lt;16870),(Y3+470),IF(AND(AA3="YES",Y3&gt;=16870,Y3&lt;18400),(Y3+510),IF(AND(AA3="YES",Y3&gt;=18400,Y3&lt;20050),(Y3+550),IF(AND(AA3="YES",Y3&gt;=20050,Y3&lt;21820),(Y3+590),IF(AND(AA3="YES",Y3&gt;=21820,Y3&lt;23740),(Y3+640),IF(AND(AA3="YES",Y3&gt;=23740,Y3&lt;25840),(Y3+700),IF(AND(AA3="YES",Y3&gt;=25840,Y3&lt;28120),(Y3+760),IF(AND(AA3="YES",Y3&gt;=28120,Y3&lt;30580),(Y3+820),IF(AND(AA3="YES",Y3&gt;=30580,Y3&lt;33220),(Y3+880),IF(AND(AA3="YES",Y3&gt;=33220,Y3&lt;36070),(Y3+950),IF(AND(AA3="YES",Y3&gt;=36070,Y3&lt;39160),(Y3+1030),IF(AND(AA3="YES",Y3&gt;=39160,Y3&lt;42490),(Y3+1110),IF(AND(AA3="YES",Y3&gt;=42490,Y3&lt;46060),(Y3+1190),IF(AND(AA3="YES",Y3&gt;=46060,Y3&lt;49870),(Y3+1270),IF(AND(AA3="YES",Y3&gt;=49870,Y3&lt;53950),(Y3+1360),IF(AND(AA3="YES",Y3&gt;=53950,Y3&lt;58330),(Y3+1460),IF(AND(AA3="YES",Y3&gt;=58330,Y3&lt;63010),(Y3+1560),IF(AND(AA3="YES",Y3&gt;=63010,Y3&lt;67990),(Y3+1660),IF(AND(AA3="YES",Y3&gt;=67990,Y3&lt;73270),(Y3+1760),IF(AND(AA3="YES",Y3&gt;=73270,Y3&lt;78910),(Y3+1880),IF(AND(AA3="YES",Y3&gt;=78910,Y3&lt;84970),(Y3+2020),IF(AND(AA3="YES",Y3&gt;=84970,Y3&lt;91450),(Y3+2160),IF(AND(AA3="YES",Y3&gt;=91450,Y3&lt;100770),(Y3+2330),IF(AND(AA3="YES",Y3&gt;=100770,Y3&lt;110850),(Y3+2520),AG2))))))))))))))))))))))))))))))))))))))))))))))))))))</f>
        <v>0</v>
      </c>
      <c r="AH3" s="292">
        <f t="shared" ref="AH3:AH15" si="10">IF(AND(X3=AB3),MIN(AD3,Y3,AG3),IF(AND(X3=Z3),MAX(AD3,Y3,AG3),IF(AND(X3=Z3,Z3=AB3),MIN(AD3,Y3,AG3),MAX(AD3,Y3,AG3))))</f>
        <v>0</v>
      </c>
      <c r="AI3" s="311">
        <f>IF(AND(C24="YES",C25=AE3),ROUND((AH3/AI19)*AI20,0),AH3)</f>
        <v>0</v>
      </c>
      <c r="AJ3" s="404">
        <f>AF3/AE19*AI20</f>
        <v>0</v>
      </c>
      <c r="AK3" s="288">
        <f>IF(C39=X3,C40,AK2)</f>
        <v>0</v>
      </c>
      <c r="AL3" s="233">
        <f>IF(C42=X3,C43,AL2)</f>
        <v>0</v>
      </c>
      <c r="AM3" s="233">
        <f>IF(C45=X3,C46,AM2)</f>
        <v>0</v>
      </c>
      <c r="AN3" s="233">
        <f>IF(C48=X3,C49,AN2)</f>
        <v>0</v>
      </c>
      <c r="AO3" s="233">
        <f>IF(C51=X3,C52,AO2)</f>
        <v>0</v>
      </c>
      <c r="AP3" s="233">
        <f>IF(C59=X3,C60,AP2)</f>
        <v>0</v>
      </c>
      <c r="AQ3" s="234">
        <v>13390</v>
      </c>
    </row>
    <row r="4" spans="2:44" ht="20.100000000000001" customHeight="1" x14ac:dyDescent="0.3">
      <c r="B4" s="605"/>
      <c r="C4" s="441" t="s">
        <v>309</v>
      </c>
      <c r="E4" s="550"/>
      <c r="F4" s="551">
        <f>IF(AND(F31="YES",C32=J4),K4*C31/F33*E31+K4*C33/F33*E33,IF(AND(F31="YES",F32&lt;=5),K4*C33,K4*C31))</f>
        <v>0</v>
      </c>
      <c r="G4" s="589">
        <f t="shared" si="2"/>
        <v>0</v>
      </c>
      <c r="H4" s="552"/>
      <c r="I4" s="514">
        <v>0.18340000000000001</v>
      </c>
      <c r="J4" s="597" t="str">
        <f>INFO!AM34</f>
        <v>May-2017</v>
      </c>
      <c r="K4" s="596">
        <f t="shared" si="0"/>
        <v>0</v>
      </c>
      <c r="L4" s="598">
        <f t="shared" si="3"/>
        <v>0</v>
      </c>
      <c r="M4" s="602">
        <f>IF(C14="GPF",AP4,IF(C14="CPS",'ANNEXURE I'!M7,0))</f>
        <v>0</v>
      </c>
      <c r="N4" s="599">
        <f>IF(AND(C14="GPF",C62=J4),C63,N3)</f>
        <v>0</v>
      </c>
      <c r="O4" s="602">
        <f>IF(C65="YES",(O2*C67)/30,0)</f>
        <v>0</v>
      </c>
      <c r="P4" s="599">
        <f>IF(C69&gt;0,ROUND((P2*C71)/30,0),0)</f>
        <v>0</v>
      </c>
      <c r="Q4" s="602">
        <f>IF(AND(C73="YES",C75=J4),C76,Q3)</f>
        <v>0</v>
      </c>
      <c r="R4" s="600"/>
      <c r="S4" s="601"/>
      <c r="T4" s="601"/>
      <c r="U4" s="609" t="str">
        <f t="shared" si="4"/>
        <v>May-2017</v>
      </c>
      <c r="V4" s="511">
        <f t="shared" si="1"/>
        <v>0.18340000000000001</v>
      </c>
      <c r="W4" s="216">
        <f>IF(AND(C32=X4),C33,W3)</f>
        <v>0</v>
      </c>
      <c r="X4" s="455" t="str">
        <f t="shared" si="5"/>
        <v>May-2017</v>
      </c>
      <c r="Y4" s="235">
        <f t="shared" ref="Y4:Y15" si="11">IF(AND(X4=Z4,Y3&gt;=13000,Y3&lt;14170),(Y3+390),IF(AND(X4=Z4,Y3&gt;=14170,Y3&lt;15460),(Y3+430),IF(AND(X4=Z4,Y3&gt;=15460,Y3&lt;16870),(Y3+470),
IF(AND(X4=Z4,Y3&gt;=16870,Y3&lt;18400),(Y3+510),IF(AND(X4=Z4,Y3&gt;=18400,Y3&lt;20050),(Y3+550),IF(AND(X4=Z4,Y3&gt;=20050,Y3&lt;21820),(Y3+590),
IF(AND(X4=Z4,Y3&gt;=21820,Y3&lt;23740),(Y3+640),IF(AND(X4=Z4,Y3&gt;=23740,Y3&lt;25840),(Y3+700),IF(AND(X4=Z4,Y3&gt;=25840,Y3&lt;28120),(Y3+760),
IF(AND(X4=Z4,Y3&gt;=28120,Y3&lt;30580),(Y3+820),IF(AND(X4=Z4,Y3&gt;=30580,Y3&lt;33220),(Y3+880),IF(AND(X4=Z4,Y3&gt;=33220,Y3&lt;36070),(Y3+950),
IF(AND(X4=Z4,Y3&gt;=36070,Y3&lt;39160),(Y3+1030),IF(AND(X4=Z4,Y3&gt;=39160,Y3&lt;42490),(Y3+1110),IF(AND(X4=Z4,Y3&gt;=42490,Y3&lt;46060),(Y3+1190),
IF(AND(X4=Z4,Y3&gt;=46060,Y3&lt;49870),(Y3+1270),IF(AND(X4=Z4,Y3&gt;=49870,Y3&lt;53950),(Y3+1360),IF(AND(X4=Z4,Y3&gt;=53950,Y3&lt;58330),(Y3+1460),
IF(AND(X4=Z4,Y3&gt;=58330,Y3&lt;63010),(Y3+1560),IF(AND(X4=Z4,Y3&gt;=63010,Y3&lt;67990),(Y3+1660),IF(AND(X4=Z4,Y3&gt;=67990,Y3&lt;73270),(Y3+1760),
IF(AND(X4=Z4,Y3&gt;=73270,Y3&lt;78910),(Y3+1880),IF(AND(X4=Z4,Y3&gt;=78910,Y3&lt;84970),(Y3+2020),IF(AND(X4=Z4,Y3&gt;=84970,Y3&lt;91450),(Y3+2160),
IF(AND(X4=Z4,Y3&gt;=91450,Y3&lt;100770),(Y3+2330),IF(AND(X4=Z4,Y3&gt;=100770,Y3&lt;110850),(Y3+2520),Y3))))))))))))))))))))))))))</f>
        <v>0</v>
      </c>
      <c r="Z4" s="228">
        <f>C20</f>
        <v>0</v>
      </c>
      <c r="AA4" s="229" t="str">
        <f t="shared" si="6"/>
        <v/>
      </c>
      <c r="AB4" s="230" t="str">
        <f t="shared" si="7"/>
        <v/>
      </c>
      <c r="AC4" s="231" t="str">
        <f>IF(AA4="YES",C23,"")</f>
        <v/>
      </c>
      <c r="AD4" s="236">
        <f t="shared" si="8"/>
        <v>0</v>
      </c>
      <c r="AE4" s="456" t="str">
        <f t="shared" si="9"/>
        <v>May-2017</v>
      </c>
      <c r="AF4" s="403">
        <f>IF(AA4="YES",(AD5-AD4)/AE19*AE20,0)</f>
        <v>0</v>
      </c>
      <c r="AG4" s="291">
        <f t="shared" ref="AG4:AG15" si="12">IF(AND(AA3="YES",Y4&gt;=13000,Y4&lt;14170),(Y4+390),IF(AND(AA3="YES",Y4&gt;=14170,Y4&lt;15460),(Y4+430),IF(AND(AA3="YES",Y4&gt;=15460,Y4&lt;16870),(Y4+470),IF(AND(AA3="YES",Y4&gt;=16870,Y4&lt;18400),(Y4+510),IF(AND(AA3="YES",Y4&gt;=18400,Y4&lt;20050),(Y4+550),IF(AND(AA3="YES",Y4&gt;=20050,Y4&lt;21820),(Y4+590),IF(AND(AA3="YES",Y4&gt;=21820,Y4&lt;23740),(Y4+640),IF(AND(AA3="YES",Y4&gt;=23740,Y4&lt;25840),(Y4+700),IF(AND(AA3="YES",Y4&gt;=25840,Y4&lt;28120),(Y4+760),IF(AND(AA3="YES",Y4&gt;=28120,Y4&lt;30580),(Y4+820),IF(AND(AA3="YES",Y4&gt;=30580,Y4&lt;33220),(Y4+880),IF(AND(AA3="YES",Y4&gt;=33220,Y4&lt;36070),(Y4+950),IF(AND(AA3="YES",Y4&gt;=36070,Y4&lt;39160),(Y4+1030),IF(AND(AA3="YES",Y4&gt;=39160,Y4&lt;42490),(Y4+1110),IF(AND(AA3="YES",Y4&gt;=42490,Y4&lt;46060),(Y4+1190),IF(AND(AA3="YES",Y4&gt;=46060,Y4&lt;49870),(Y4+1270),IF(AND(AA3="YES",Y4&gt;=49870,Y4&lt;53950),(Y4+1360),IF(AND(AA3="YES",Y4&gt;=53950,Y4&lt;58330),(Y4+1460),IF(AND(AA3="YES",Y4&gt;=58330,Y4&lt;63010),(Y4+1560),IF(AND(AA3="YES",Y4&gt;=63010,Y4&lt;67990),(Y4+1660),IF(AND(AA3="YES",Y4&gt;=67990,Y4&lt;73270),(Y4+1760),IF(AND(AA3="YES",Y4&gt;=73270,Y4&lt;78910),(Y4+1880),IF(AND(AA3="YES",Y4&gt;=78910,Y4&lt;84970),(Y4+2020),IF(AND(AA3="YES",Y4&gt;=84970,Y4&lt;91450),(Y4+2160),IF(AND(AA3="YES",Y4&gt;=91450,Y4&lt;100770),(Y4+2330),IF(AND(AA3="YES",Y4&gt;=100770,Y4&lt;110850),(Y4+2520),IF(AND(AA4="YES",Y4&gt;=13000,Y4&lt;14170),(Y4+390),IF(AND(AA4="YES",Y4&gt;=14170,Y4&lt;15460),(Y4+430),IF(AND(AA4="YES",Y4&gt;=15460,Y4&lt;16870),(Y4+470),IF(AND(AA4="YES",Y4&gt;=16870,Y4&lt;18400),(Y4+510),IF(AND(AA4="YES",Y4&gt;=18400,Y4&lt;20050),(Y4+550),IF(AND(AA4="YES",Y4&gt;=20050,Y4&lt;21820),(Y4+590),IF(AND(AA4="YES",Y4&gt;=21820,Y4&lt;23740),(Y4+640),IF(AND(AA4="YES",Y4&gt;=23740,Y4&lt;25840),(Y4+700),IF(AND(AA4="YES",Y4&gt;=25840,Y4&lt;28120),(Y4+760),IF(AND(AA4="YES",Y4&gt;=28120,Y4&lt;30580),(Y4+820),IF(AND(AA4="YES",Y4&gt;=30580,Y4&lt;33220),(Y4+880),IF(AND(AA4="YES",Y4&gt;=33220,Y4&lt;36070),(Y4+950),IF(AND(AA4="YES",Y4&gt;=36070,Y4&lt;39160),(Y4+1030),IF(AND(AA4="YES",Y4&gt;=39160,Y4&lt;42490),(Y4+1110),IF(AND(AA4="YES",Y4&gt;=42490,Y4&lt;46060),(Y4+1190),IF(AND(AA4="YES",Y4&gt;=46060,Y4&lt;49870),(Y4+1270),IF(AND(AA4="YES",Y4&gt;=49870,Y4&lt;53950),(Y4+1360),IF(AND(AA4="YES",Y4&gt;=53950,Y4&lt;58330),(Y4+1460),IF(AND(AA4="YES",Y4&gt;=58330,Y4&lt;63010),(Y4+1560),IF(AND(AA4="YES",Y4&gt;=63010,Y4&lt;67990),(Y4+1660),IF(AND(AA4="YES",Y4&gt;=67990,Y4&lt;73270),(Y4+1760),IF(AND(AA4="YES",Y4&gt;=73270,Y4&lt;78910),(Y4+1880),IF(AND(AA4="YES",Y4&gt;=78910,Y4&lt;84970),(Y4+2020),IF(AND(AA4="YES",Y4&gt;=84970,Y4&lt;91450),(Y4+2160),IF(AND(AA4="YES",Y4&gt;=91450,Y4&lt;100770),(Y4+2330),IF(AND(AA4="YES",Y4&gt;=100770,Y4&lt;110850),(Y4+2520),AG3))))))))))))))))))))))))))))))))))))))))))))))))))))</f>
        <v>0</v>
      </c>
      <c r="AH4" s="292">
        <f t="shared" si="10"/>
        <v>0</v>
      </c>
      <c r="AI4" s="311">
        <f>IF(AND(C24="YES",C25=AE4),ROUND((AH4/AI19)*AI20,0),AH4)</f>
        <v>0</v>
      </c>
      <c r="AJ4" s="404">
        <f>AF4/AE19*AI20</f>
        <v>0</v>
      </c>
      <c r="AK4" s="288">
        <f>IF(C39=X4,C40,AK3)</f>
        <v>0</v>
      </c>
      <c r="AL4" s="233">
        <f>IF(C42=X4,C43,AL3)</f>
        <v>0</v>
      </c>
      <c r="AM4" s="233">
        <f>IF(C45=X4,C46,AM3)</f>
        <v>0</v>
      </c>
      <c r="AN4" s="233">
        <f>IF(C48=X4,C49,AN3)</f>
        <v>0</v>
      </c>
      <c r="AO4" s="233">
        <f>IF(C51=X4,C52,AO3)</f>
        <v>0</v>
      </c>
      <c r="AP4" s="233">
        <f>IF(C59=X4,C60,AP3)</f>
        <v>0</v>
      </c>
      <c r="AQ4" s="234">
        <v>13780</v>
      </c>
    </row>
    <row r="5" spans="2:44" ht="20.100000000000001" customHeight="1" x14ac:dyDescent="0.3">
      <c r="B5" s="606"/>
      <c r="C5" s="441" t="s">
        <v>315</v>
      </c>
      <c r="E5" s="550"/>
      <c r="F5" s="551">
        <f>IF(AND(F31="YES",C32=J5),K5*C31/F33*E31+K5*C33/F33*E33,IF(AND(F31="YES",F32&lt;=6),K5*C33,K5*C31))</f>
        <v>0</v>
      </c>
      <c r="G5" s="589">
        <f t="shared" si="2"/>
        <v>0</v>
      </c>
      <c r="H5" s="552"/>
      <c r="I5" s="514">
        <v>0.18340000000000001</v>
      </c>
      <c r="J5" s="597" t="str">
        <f>INFO!AM35</f>
        <v>Jun-2017</v>
      </c>
      <c r="K5" s="596">
        <f t="shared" si="0"/>
        <v>0</v>
      </c>
      <c r="L5" s="598">
        <f t="shared" si="3"/>
        <v>0</v>
      </c>
      <c r="M5" s="602">
        <f>IF(C14="GPF",AP5,IF(C14="CPS",'ANNEXURE I'!M8,0))</f>
        <v>0</v>
      </c>
      <c r="N5" s="599">
        <f>IF(AND(C14="GPF",C62=J5),C63,N4)</f>
        <v>0</v>
      </c>
      <c r="O5" s="602">
        <f>IF(C65="YES",(O2*C68)/30,0)</f>
        <v>0</v>
      </c>
      <c r="P5" s="599">
        <f>IF(C69&gt;0,ROUND((P2*C72)/30,0),0)</f>
        <v>0</v>
      </c>
      <c r="Q5" s="602">
        <f>IF(AND(C73="YES",C75=J5),C76,Q4)</f>
        <v>0</v>
      </c>
      <c r="R5" s="600"/>
      <c r="S5" s="601"/>
      <c r="T5" s="601"/>
      <c r="U5" s="609" t="str">
        <f t="shared" si="4"/>
        <v>Jun-2017</v>
      </c>
      <c r="V5" s="511">
        <f t="shared" si="1"/>
        <v>0.18340000000000001</v>
      </c>
      <c r="W5" s="216">
        <f>IF(AND(C32=X5),C33,W4)</f>
        <v>0</v>
      </c>
      <c r="X5" s="455" t="str">
        <f t="shared" si="5"/>
        <v>Jun-2017</v>
      </c>
      <c r="Y5" s="235">
        <f t="shared" si="11"/>
        <v>0</v>
      </c>
      <c r="Z5" s="228">
        <f>C20</f>
        <v>0</v>
      </c>
      <c r="AA5" s="229" t="str">
        <f t="shared" si="6"/>
        <v/>
      </c>
      <c r="AB5" s="230" t="str">
        <f t="shared" si="7"/>
        <v/>
      </c>
      <c r="AC5" s="231" t="str">
        <f>IF(AA5="YES",C23,"")</f>
        <v/>
      </c>
      <c r="AD5" s="236">
        <f t="shared" si="8"/>
        <v>0</v>
      </c>
      <c r="AE5" s="456" t="str">
        <f t="shared" si="9"/>
        <v>Jun-2017</v>
      </c>
      <c r="AF5" s="403">
        <f>IF(AA5="YES",(AD6-AD5)/AE19*AE20,0)</f>
        <v>0</v>
      </c>
      <c r="AG5" s="291">
        <f t="shared" si="12"/>
        <v>0</v>
      </c>
      <c r="AH5" s="292">
        <f t="shared" si="10"/>
        <v>0</v>
      </c>
      <c r="AI5" s="311">
        <f>IF(AND(C24="YES",C25=AE5),ROUND((AH5/AI19)*AI20,0),AH5)</f>
        <v>0</v>
      </c>
      <c r="AJ5" s="404">
        <f>AF5/AE19*AI20</f>
        <v>0</v>
      </c>
      <c r="AK5" s="288">
        <f>IF(C39=X5,C40,AK4)</f>
        <v>0</v>
      </c>
      <c r="AL5" s="233">
        <f>IF(C42=X5,C43,AL4)</f>
        <v>0</v>
      </c>
      <c r="AM5" s="233">
        <f>IF(C45=X5,C46,AM4)</f>
        <v>0</v>
      </c>
      <c r="AN5" s="233">
        <f>IF(C48=X5,C49,AN4)</f>
        <v>0</v>
      </c>
      <c r="AO5" s="233">
        <f>IF(C51=X5,C52,AO4)</f>
        <v>0</v>
      </c>
      <c r="AP5" s="233">
        <f>IF(C59=X5,C60,AP4)</f>
        <v>0</v>
      </c>
      <c r="AQ5" s="234">
        <v>14170</v>
      </c>
    </row>
    <row r="6" spans="2:44" ht="20.100000000000001" customHeight="1" x14ac:dyDescent="0.3">
      <c r="B6" s="605"/>
      <c r="C6" s="441" t="s">
        <v>16</v>
      </c>
      <c r="F6" s="551">
        <f>IF(AND(F31="YES",C32=J6),K6*C31/F33*E31+K6*C33/F33*E33,IF(AND(F31="YES",F32&lt;=7),K6*C33,K6*C31))</f>
        <v>0</v>
      </c>
      <c r="G6" s="589">
        <f t="shared" si="2"/>
        <v>0</v>
      </c>
      <c r="H6" s="545"/>
      <c r="I6" s="514">
        <v>0.18340000000000001</v>
      </c>
      <c r="J6" s="597" t="str">
        <f>INFO!AM36</f>
        <v>Jul-2017</v>
      </c>
      <c r="K6" s="596">
        <f t="shared" si="0"/>
        <v>0</v>
      </c>
      <c r="L6" s="598">
        <f t="shared" si="3"/>
        <v>0</v>
      </c>
      <c r="M6" s="602">
        <f>IF(C14="GPF",AP6,IF(C14="CPS",'ANNEXURE I'!M9,0))</f>
        <v>0</v>
      </c>
      <c r="N6" s="599">
        <f>IF(AND(C14="GPF",C62=J6),C63,N5)</f>
        <v>0</v>
      </c>
      <c r="O6" s="602">
        <f>IF(C65="YES",1350,0)</f>
        <v>0</v>
      </c>
      <c r="P6" s="599">
        <f>P2</f>
        <v>0</v>
      </c>
      <c r="Q6" s="602">
        <f>IF(AND(C73="YES",C75=J6),C76,Q5)</f>
        <v>0</v>
      </c>
      <c r="R6" s="600"/>
      <c r="S6" s="601"/>
      <c r="T6" s="601"/>
      <c r="U6" s="609" t="str">
        <f t="shared" si="4"/>
        <v>Jul-2017</v>
      </c>
      <c r="V6" s="511">
        <f t="shared" si="1"/>
        <v>0.18340000000000001</v>
      </c>
      <c r="W6" s="216">
        <f>IF(AND(C32=X6),C33,W5)</f>
        <v>0</v>
      </c>
      <c r="X6" s="455" t="str">
        <f t="shared" si="5"/>
        <v>Jul-2017</v>
      </c>
      <c r="Y6" s="235">
        <f t="shared" si="11"/>
        <v>0</v>
      </c>
      <c r="Z6" s="228">
        <f>C20</f>
        <v>0</v>
      </c>
      <c r="AA6" s="229" t="str">
        <f t="shared" si="6"/>
        <v/>
      </c>
      <c r="AB6" s="230" t="str">
        <f t="shared" si="7"/>
        <v/>
      </c>
      <c r="AC6" s="231" t="str">
        <f>IF(AA6="YES",C23,"")</f>
        <v/>
      </c>
      <c r="AD6" s="236">
        <f t="shared" si="8"/>
        <v>0</v>
      </c>
      <c r="AE6" s="456" t="str">
        <f t="shared" si="9"/>
        <v>Jul-2017</v>
      </c>
      <c r="AF6" s="403">
        <f>IF(AA6="YES",(AD7-AD6)/AE19*AE20,0)</f>
        <v>0</v>
      </c>
      <c r="AG6" s="291">
        <f t="shared" si="12"/>
        <v>0</v>
      </c>
      <c r="AH6" s="292">
        <f t="shared" si="10"/>
        <v>0</v>
      </c>
      <c r="AI6" s="311">
        <f>IF(AND(C24="YES",C25=AE6),ROUND((AH6/AI19)*AI20,0),AH6)</f>
        <v>0</v>
      </c>
      <c r="AJ6" s="404">
        <f>AF6/AE19*AI20</f>
        <v>0</v>
      </c>
      <c r="AK6" s="288">
        <f>IF(C39=X6,C40,AK5)</f>
        <v>0</v>
      </c>
      <c r="AL6" s="233">
        <f>IF(C42=X6,C43,AL5)</f>
        <v>0</v>
      </c>
      <c r="AM6" s="233">
        <f>IF(C45=X6,C46,AM5)</f>
        <v>0</v>
      </c>
      <c r="AN6" s="233">
        <f>IF(C48=X6,C49,AN5)</f>
        <v>0</v>
      </c>
      <c r="AO6" s="233">
        <f>IF(C51=X6,C52,AO5)</f>
        <v>0</v>
      </c>
      <c r="AP6" s="233">
        <f>IF(C59=X6,C60,AP5)</f>
        <v>0</v>
      </c>
      <c r="AQ6" s="234">
        <v>14600</v>
      </c>
    </row>
    <row r="7" spans="2:44" ht="20.100000000000001" customHeight="1" x14ac:dyDescent="0.3">
      <c r="B7" s="605"/>
      <c r="C7" s="441" t="s">
        <v>316</v>
      </c>
      <c r="D7" s="540"/>
      <c r="E7" s="553"/>
      <c r="F7" s="551">
        <f>IF(AND(F31="YES",C32=J7),K7*C31/F33*E31+K7*C33/F33*E33,IF(AND(F31="YES",F32&lt;=8),K7*C33,K7*C31))</f>
        <v>0</v>
      </c>
      <c r="G7" s="589">
        <f t="shared" si="2"/>
        <v>0</v>
      </c>
      <c r="H7" s="554"/>
      <c r="I7" s="514">
        <v>0.18340000000000001</v>
      </c>
      <c r="J7" s="597" t="str">
        <f>INFO!AM37</f>
        <v>Aug-2017</v>
      </c>
      <c r="K7" s="596">
        <f t="shared" si="0"/>
        <v>0</v>
      </c>
      <c r="L7" s="598">
        <f t="shared" si="3"/>
        <v>0</v>
      </c>
      <c r="M7" s="602">
        <f>IF(C14="GPF",AP7,IF(C14="CPS",'ANNEXURE I'!M10,0))</f>
        <v>0</v>
      </c>
      <c r="N7" s="599">
        <f>IF(AND(C14="GPF",C62=J7),C63,N6)</f>
        <v>0</v>
      </c>
      <c r="O7" s="602">
        <f>IF(C65="YES",1350,0)</f>
        <v>0</v>
      </c>
      <c r="P7" s="599">
        <f t="shared" ref="P7:P13" si="13">P6</f>
        <v>0</v>
      </c>
      <c r="Q7" s="602">
        <f>IF(AND(C73="YES",C75=J7),C76,Q6)</f>
        <v>0</v>
      </c>
      <c r="R7" s="600"/>
      <c r="S7" s="601"/>
      <c r="T7" s="601"/>
      <c r="U7" s="609" t="str">
        <f t="shared" si="4"/>
        <v>Aug-2017</v>
      </c>
      <c r="V7" s="511">
        <f t="shared" si="1"/>
        <v>0.18340000000000001</v>
      </c>
      <c r="W7" s="216">
        <f>IF(AND(C32=X7),C33,W6)</f>
        <v>0</v>
      </c>
      <c r="X7" s="455" t="str">
        <f t="shared" si="5"/>
        <v>Aug-2017</v>
      </c>
      <c r="Y7" s="235">
        <f t="shared" si="11"/>
        <v>0</v>
      </c>
      <c r="Z7" s="228">
        <f>C20</f>
        <v>0</v>
      </c>
      <c r="AA7" s="229" t="str">
        <f t="shared" si="6"/>
        <v/>
      </c>
      <c r="AB7" s="230" t="str">
        <f t="shared" si="7"/>
        <v/>
      </c>
      <c r="AC7" s="231" t="str">
        <f>IF(AA7="YES",C23,"")</f>
        <v/>
      </c>
      <c r="AD7" s="236">
        <f t="shared" si="8"/>
        <v>0</v>
      </c>
      <c r="AE7" s="456" t="str">
        <f t="shared" si="9"/>
        <v>Aug-2017</v>
      </c>
      <c r="AF7" s="403">
        <f>IF(AA7="YES",(AD8-AD7)/AE19*AE20,0)</f>
        <v>0</v>
      </c>
      <c r="AG7" s="291">
        <f t="shared" si="12"/>
        <v>0</v>
      </c>
      <c r="AH7" s="292">
        <f t="shared" si="10"/>
        <v>0</v>
      </c>
      <c r="AI7" s="311">
        <f>IF(AND(C24="YES",C25=AE7),ROUND((AH7/AI19)*AI20,0),AH7)</f>
        <v>0</v>
      </c>
      <c r="AJ7" s="404">
        <f>AF7/AE19*AI20</f>
        <v>0</v>
      </c>
      <c r="AK7" s="288">
        <f>IF(C39=X7,C40,AK6)</f>
        <v>0</v>
      </c>
      <c r="AL7" s="233">
        <f>IF(C42=X7,C43,AL6)</f>
        <v>0</v>
      </c>
      <c r="AM7" s="233">
        <f>IF(C45=X7,C46,AM6)</f>
        <v>0</v>
      </c>
      <c r="AN7" s="233">
        <f>IF(C48=X7,C49,AN6)</f>
        <v>0</v>
      </c>
      <c r="AO7" s="233">
        <f>IF(C51=X7,C52,AO6)</f>
        <v>0</v>
      </c>
      <c r="AP7" s="233">
        <f>IF(C59=X7,C60,AP6)</f>
        <v>0</v>
      </c>
      <c r="AQ7" s="234">
        <v>15030</v>
      </c>
    </row>
    <row r="8" spans="2:44" ht="20.100000000000001" customHeight="1" x14ac:dyDescent="0.3">
      <c r="B8" s="605"/>
      <c r="C8" s="441" t="s">
        <v>17</v>
      </c>
      <c r="D8" s="572"/>
      <c r="E8" s="550"/>
      <c r="F8" s="551">
        <f>IF(AND(F31="YES",C32=J8),K8*C31/F33*E31+K8*C33/F33*E33,IF(AND(F31="YES",F32&lt;=9),K8*C33,K8*C31))</f>
        <v>0</v>
      </c>
      <c r="G8" s="589">
        <f t="shared" si="2"/>
        <v>0</v>
      </c>
      <c r="H8" s="552"/>
      <c r="I8" s="515">
        <v>0.18340000000000001</v>
      </c>
      <c r="J8" s="597" t="str">
        <f>INFO!AM38</f>
        <v>Sep-2017</v>
      </c>
      <c r="K8" s="596">
        <f t="shared" si="0"/>
        <v>0</v>
      </c>
      <c r="L8" s="598">
        <f t="shared" si="3"/>
        <v>0</v>
      </c>
      <c r="M8" s="602">
        <f>IF(C14="GPF",AP8,IF(C14="CPS",'ANNEXURE I'!M11,0))</f>
        <v>0</v>
      </c>
      <c r="N8" s="599">
        <f>IF(AND(C14="GPF",C62=J8),C63,N7)</f>
        <v>0</v>
      </c>
      <c r="O8" s="602">
        <f>IF(C65="YES",1350,0)</f>
        <v>0</v>
      </c>
      <c r="P8" s="599">
        <f t="shared" si="13"/>
        <v>0</v>
      </c>
      <c r="Q8" s="602">
        <f>IF(AND(C73="YES",C75=J8),C76,Q7)</f>
        <v>0</v>
      </c>
      <c r="R8" s="600"/>
      <c r="S8" s="601"/>
      <c r="T8" s="601"/>
      <c r="U8" s="609" t="str">
        <f t="shared" si="4"/>
        <v>Sep-2017</v>
      </c>
      <c r="V8" s="511">
        <f t="shared" si="1"/>
        <v>0.18340000000000001</v>
      </c>
      <c r="W8" s="216">
        <f>IF(AND(C32=X8),C33,W7)</f>
        <v>0</v>
      </c>
      <c r="X8" s="455" t="str">
        <f t="shared" si="5"/>
        <v>Sep-2017</v>
      </c>
      <c r="Y8" s="235">
        <f t="shared" si="11"/>
        <v>0</v>
      </c>
      <c r="Z8" s="228">
        <f>C20</f>
        <v>0</v>
      </c>
      <c r="AA8" s="229" t="str">
        <f t="shared" si="6"/>
        <v/>
      </c>
      <c r="AB8" s="230" t="str">
        <f t="shared" si="7"/>
        <v/>
      </c>
      <c r="AC8" s="231" t="str">
        <f>IF(AA8="YES",C23,"")</f>
        <v/>
      </c>
      <c r="AD8" s="236">
        <f>IF(AND(X8=Z8,AD7&gt;=13000,AD7&lt;14170),(AD7+390),IF(AND(X8=Z8,AD7&gt;=14170,AD7&lt;15460),(AD7+430),IF(AND(X8=Z8,AD7&gt;=15460,AD7&lt;16870),(AD7+470),IF(AND(X8=Z8,AD7&gt;=16870,AD7&lt;18400),(AD7+510),IF(AND(X8=Z8,AD7&gt;=18400,AD7&lt;20050),(AD7+550),IF(AND(X8=Z8,AD7&gt;=20050,AD7&lt;21820),(AD7+590),IF(AND(X8=Z8,AD7&gt;=21820,AD7&lt;23740),(AD7+640),IF(AND(X8=Z8,AD7&gt;=23740,AD7&lt;25840),(AD7+700),IF(AND(X8=Z8,AD7&gt;=25840,AD7&lt;28120),(AD7+760),IF(AND(X8=Z8,AD7&gt;=28120,AD7&lt;30580),(AD7+820),IF(AND(X8=Z8,AD7&gt;=30580,AD7&lt;33220),(AD7+880),IF(AND(X8=Z8,AD7&gt;=33220,AD7&lt;36070),(AD7+950),IF(AND(X8=Z8,AD7&gt;=36070,AD7&lt;39160),(AD7+1030),IF(AND(X8=Z8,AD7&gt;=39160,AD7&lt;42490),(AD7+1110),IF(AND(X8=Z8,AD7&gt;=42490,AD7&lt;46060),(AD7+1190),IF(AND(X8=Z8,AD7&gt;=46060,AD7&lt;49870),(AD7+1270),IF(AND(X8=Z8,AD7&gt;=49870,AD7&lt;53950),(AD7+1360),IF(AND(X8=Z8,AD7&gt;=53950,AD7&lt;58330),(AD7+1460),IF(AND(X8=Z8,AD7&gt;=58330,AD7&lt;63010),(AD7+1560),IF(AND(X8=Z8,AD7&gt;=63010,AD7&lt;67990),(AD7+1660),IF(AND(X8=Z8,AD7&gt;=67990,AD7&lt;73270),(AD7+1760),IF(AND(X8=Z8,AD7&gt;=73270,AD7&lt;78910),(AD7+1880),IF(AND(X8=Z8,AD7&gt;=78910,AD7&lt;84970),(AD7+2020),IF(AND(X8=Z8,AD7&gt;=84970,AD7&lt;91450),(AD7+2160),IF(AND(X8=Z8,AD7&gt;=91450,AD7&lt;100770),(AD7+2330),IF(AND(X8=Z8,AD7&gt;=100770,AD7&lt;110850),(AD7+2520),IF(AND(AA7="YES",AD7&gt;=13000,AD7&lt;14170),(AD7+390),IF(AND(AA7="YES",AD7&gt;=14170,AD7&lt;15460),(AD7+430),IF(AND(AA7="YES",AD7&gt;=15460,AD7&lt;16870),(AD7+470),IF(AND(AA7="YES",AD7&gt;=16870,AD7&lt;18400),(AD7+510),IF(AND(AA7="YES",AD7&gt;=18400,AD7&lt;20050),(AD7+550),IF(AND(AA7="YES",AD7&gt;=20050,AD7&lt;21820),(AD7+590),IF(AND(AA7="YES",AD7&gt;=21820,AD7&lt;23740),(AD7+640),IF(AND(AA7="YES",AD7&gt;=23740,AD7&lt;25840),(AD7+700),IF(AND(AA7="YES",AD7&gt;=25840,AD7&lt;28120),(AD7+760),IF(AND(AA7="YES",AD7&gt;=28120,AD7&lt;30580),(AD7+820),IF(AND(AA7="YES",AD7&gt;=30580,AD7&lt;33220),(AD7+880),IF(AND(AA7="YES",AD7&gt;=33220,AD7&lt;36070),(AD7+950),IF(AND(AA7="YES",AD7&gt;=36070,AD7&lt;39160),(AD7+1030),IF(AND(AA7="YES",AD7&gt;=39160,AD7&lt;42490),(AD7+1110),IF(AND(AA7="YES",AD7&gt;=42490,AD7&lt;46060),(AD7+1190),IF(AND(AA7="YES",AD7&gt;=46060,AD7&lt;49870),(AD7+1270),IF(AND(AA7="YES",AD7&gt;=49870,AD7&lt;53950),(AD7+1360),IF(AND(AA7="YES",AD7&gt;=53950,AD7&lt;58330),(AD7+1460),IF(AND(AA7="YES",AD7&gt;=58330,AD7&lt;63010),(AD7+1560),IF(AND(AA7="YES",AD7&gt;=63010,AD7&lt;67990),(AD7+1660),IF(AND(AA7="YES",AD7&gt;=67990,AD7&lt;73270),(AD7+1760),IF(AND(AA7="YES",AD7&gt;=73270,AD7&lt;78910),(AD7+1880),IF(AND(AA7="YES",AD7&gt;=78910,AD7&lt;84970),(AD7+2020),IF(AND(AA7="YES",AD7&gt;=84970,AD7&lt;91450),(AD7+2160),IF(AND(AA7="YES",AD7&gt;=91450,AD7&lt;100770),(AD7+2330),IF(AND(AA7="YES",AD7&gt;=100770,AD7&lt;110850),(AD7+2520),AD7))))))))))))))))))))))))))))))))))))))))))))))))))))</f>
        <v>0</v>
      </c>
      <c r="AE8" s="456" t="str">
        <f t="shared" si="9"/>
        <v>Sep-2017</v>
      </c>
      <c r="AF8" s="403">
        <f>IF(AA8="YES",(AD9-AD8)/AE19*AE20,0)</f>
        <v>0</v>
      </c>
      <c r="AG8" s="291">
        <f t="shared" si="12"/>
        <v>0</v>
      </c>
      <c r="AH8" s="292">
        <f t="shared" si="10"/>
        <v>0</v>
      </c>
      <c r="AI8" s="311">
        <f>IF(AND(C24="YES",C25=AE8),ROUND((AH8/AI19)*AI20,0),AH8)</f>
        <v>0</v>
      </c>
      <c r="AJ8" s="404">
        <f>AF8/AE19*AI20</f>
        <v>0</v>
      </c>
      <c r="AK8" s="288">
        <f>IF(C39=X8,C40,AK7)</f>
        <v>0</v>
      </c>
      <c r="AL8" s="233">
        <f>IF(C42=X8,C43,AL7)</f>
        <v>0</v>
      </c>
      <c r="AM8" s="233">
        <f>IF(C45=X8,C46,AM7)</f>
        <v>0</v>
      </c>
      <c r="AN8" s="233">
        <f>IF(C48=X8,C49,AN7)</f>
        <v>0</v>
      </c>
      <c r="AO8" s="233">
        <f>IF(C51=X8,C52,AO7)</f>
        <v>0</v>
      </c>
      <c r="AP8" s="233">
        <f>IF(C59=X8,C60,AP7)</f>
        <v>0</v>
      </c>
      <c r="AQ8" s="234">
        <v>15460</v>
      </c>
    </row>
    <row r="9" spans="2:44" ht="20.100000000000001" customHeight="1" x14ac:dyDescent="0.3">
      <c r="B9" s="605"/>
      <c r="C9" s="441" t="s">
        <v>18</v>
      </c>
      <c r="E9" s="550"/>
      <c r="F9" s="551">
        <f>IF(AND(F31="YES",C32=J9),K9*C31/F33*E31+K9*C33/F33*E33,IF(AND(F31="YES",F32&lt;=10),K9*C33,K9*C31))</f>
        <v>0</v>
      </c>
      <c r="G9" s="589">
        <f t="shared" si="2"/>
        <v>0</v>
      </c>
      <c r="H9" s="552"/>
      <c r="I9" s="514">
        <v>0.22008</v>
      </c>
      <c r="J9" s="597" t="str">
        <f>INFO!AM39</f>
        <v>Oct-2017</v>
      </c>
      <c r="K9" s="596">
        <f t="shared" si="0"/>
        <v>0</v>
      </c>
      <c r="L9" s="598">
        <f t="shared" si="3"/>
        <v>0</v>
      </c>
      <c r="M9" s="602">
        <f>IF(C14="GPF",AP9,IF(C14="CPS",'ANNEXURE I'!M12,0))</f>
        <v>0</v>
      </c>
      <c r="N9" s="599">
        <f>IF(AND(C14="GPF",C62=J9),C63,N8)</f>
        <v>0</v>
      </c>
      <c r="O9" s="602">
        <f>IF(C65="YES",1350,0)</f>
        <v>0</v>
      </c>
      <c r="P9" s="599">
        <f t="shared" si="13"/>
        <v>0</v>
      </c>
      <c r="Q9" s="602">
        <f>IF(AND(C73="YES",C75=J9),C76,Q8)</f>
        <v>0</v>
      </c>
      <c r="R9" s="600"/>
      <c r="S9" s="601"/>
      <c r="T9" s="601"/>
      <c r="U9" s="609" t="str">
        <f t="shared" si="4"/>
        <v>Oct-2017</v>
      </c>
      <c r="V9" s="511">
        <f t="shared" si="1"/>
        <v>0.22008</v>
      </c>
      <c r="W9" s="216">
        <f>IF(AND(C32=X9),C33,W8)</f>
        <v>0</v>
      </c>
      <c r="X9" s="455" t="str">
        <f t="shared" si="5"/>
        <v>Oct-2017</v>
      </c>
      <c r="Y9" s="235">
        <f t="shared" si="11"/>
        <v>0</v>
      </c>
      <c r="Z9" s="228">
        <f>C20</f>
        <v>0</v>
      </c>
      <c r="AA9" s="229" t="str">
        <f t="shared" si="6"/>
        <v/>
      </c>
      <c r="AB9" s="230" t="str">
        <f t="shared" si="7"/>
        <v/>
      </c>
      <c r="AC9" s="231" t="str">
        <f>IF(AA9="YES",C23,"")</f>
        <v/>
      </c>
      <c r="AD9" s="236">
        <f t="shared" ref="AD9:AD15" si="14">IF(AND(X9=Z9,AD8&gt;=13000,AD8&lt;14170),(AD8+390),IF(AND(X9=Z9,AD8&gt;=14170,AD8&lt;15460),(AD8+430),IF(AND(X9=Z9,AD8&gt;=15460,AD8&lt;16870),(AD8+470),IF(AND(X9=Z9,AD8&gt;=16870,AD8&lt;18400),(AD8+510),IF(AND(X9=Z9,AD8&gt;=18400,AD8&lt;20050),(AD8+550),IF(AND(X9=Z9,AD8&gt;=20050,AD8&lt;21820),(AD8+590),IF(AND(X9=Z9,AD8&gt;=21820,AD8&lt;23740),(AD8+640),IF(AND(X9=Z9,AD8&gt;=23740,AD8&lt;25840),(AD8+700),IF(AND(X9=Z9,AD8&gt;=25840,AD8&lt;28120),(AD8+760),IF(AND(X9=Z9,AD8&gt;=28120,AD8&lt;30580),(AD8+820),IF(AND(X9=Z9,AD8&gt;=30580,AD8&lt;33220),(AD8+880),IF(AND(X9=Z9,AD8&gt;=33220,AD8&lt;36070),(AD8+950),IF(AND(X9=Z9,AD8&gt;=36070,AD8&lt;39160),(AD8+1030),IF(AND(X9=Z9,AD8&gt;=39160,AD8&lt;42490),(AD8+1110),IF(AND(X9=Z9,AD8&gt;=42490,AD8&lt;46060),(AD8+1190),IF(AND(X9=Z9,AD8&gt;=46060,AD8&lt;49870),(AD8+1270),IF(AND(X9=Z9,AD8&gt;=49870,AD8&lt;53950),(AD8+1360),IF(AND(X9=Z9,AD8&gt;=53950,AD8&lt;58330),(AD8+1460),IF(AND(X9=Z9,AD8&gt;=58330,AD8&lt;63010),(AD8+1560),IF(AND(X9=Z9,AD8&gt;=63010,AD8&lt;67990),(AD8+1660),IF(AND(X9=Z9,AD8&gt;=67990,AD8&lt;73270),(AD8+1760),IF(AND(X9=Z9,AD8&gt;=73270,AD8&lt;78910),(AD8+1880),IF(AND(X9=Z9,AD8&gt;=78910,AD8&lt;84970),(AD8+2020),IF(AND(X9=Z9,AD8&gt;=84970,AD8&lt;91450),(AD8+2160),IF(AND(X9=Z9,AD8&gt;=91450,AD8&lt;100770),(AD8+2330),IF(AND(X9=Z9,AD8&gt;=100770,AD8&lt;110850),(AD8+2520),IF(AND(AA8="YES",AD8&gt;=13000,AD8&lt;14170),(AD8+390),IF(AND(AA8="YES",AD8&gt;=14170,AD8&lt;15460),(AD8+430),IF(AND(AA8="YES",AD8&gt;=15460,AD8&lt;16870),(AD8+470),IF(AND(AA8="YES",AD8&gt;=16870,AD8&lt;18400),(AD8+510),IF(AND(AA8="YES",AD8&gt;=18400,AD8&lt;20050),(AD8+550),IF(AND(AA8="YES",AD8&gt;=20050,AD8&lt;21820),(AD8+590),IF(AND(AA8="YES",AD8&gt;=21820,AD8&lt;23740),(AD8+640),IF(AND(AA8="YES",AD8&gt;=23740,AD8&lt;25840),(AD8+700),IF(AND(AA8="YES",AD8&gt;=25840,AD8&lt;28120),(AD8+760),IF(AND(AA8="YES",AD8&gt;=28120,AD8&lt;30580),(AD8+820),IF(AND(AA8="YES",AD8&gt;=30580,AD8&lt;33220),(AD8+880),IF(AND(AA8="YES",AD8&gt;=33220,AD8&lt;36070),(AD8+950),IF(AND(AA8="YES",AD8&gt;=36070,AD8&lt;39160),(AD8+1030),IF(AND(AA8="YES",AD8&gt;=39160,AD8&lt;42490),(AD8+1110),IF(AND(AA8="YES",AD8&gt;=42490,AD8&lt;46060),(AD8+1190),IF(AND(AA8="YES",AD8&gt;=46060,AD8&lt;49870),(AD8+1270),IF(AND(AA8="YES",AD8&gt;=49870,AD8&lt;53950),(AD8+1360),IF(AND(AA8="YES",AD8&gt;=53950,AD8&lt;58330),(AD8+1460),IF(AND(AA8="YES",AD8&gt;=58330,AD8&lt;63010),(AD8+1560),IF(AND(AA8="YES",AD8&gt;=63010,AD8&lt;67990),(AD8+1660),IF(AND(AA8="YES",AD8&gt;=67990,AD8&lt;73270),(AD8+1760),IF(AND(AA8="YES",AD8&gt;=73270,AD8&lt;78910),(AD8+1880),IF(AND(AA8="YES",AD8&gt;=78910,AD8&lt;84970),(AD8+2020),IF(AND(AA8="YES",AD8&gt;=84970,AD8&lt;91450),(AD8+2160),IF(AND(AA8="YES",AD8&gt;=91450,AD8&lt;100770),(AD8+2330),IF(AND(AA8="YES",AD8&gt;=100770,AD8&lt;110850),(AD8+2520),AD8))))))))))))))))))))))))))))))))))))))))))))))))))))</f>
        <v>0</v>
      </c>
      <c r="AE9" s="456" t="str">
        <f t="shared" si="9"/>
        <v>Oct-2017</v>
      </c>
      <c r="AF9" s="403">
        <f>IF(AA9="YES",(AD10-AD9)/AE19*AE20,0)</f>
        <v>0</v>
      </c>
      <c r="AG9" s="291">
        <f t="shared" si="12"/>
        <v>0</v>
      </c>
      <c r="AH9" s="292">
        <f t="shared" si="10"/>
        <v>0</v>
      </c>
      <c r="AI9" s="311">
        <f>IF(AND(C24="YES",C25=AE9),ROUND((AH9/AI19)*AI20,0),AH9)</f>
        <v>0</v>
      </c>
      <c r="AJ9" s="404">
        <f>AF9/AE19*AI20</f>
        <v>0</v>
      </c>
      <c r="AK9" s="288">
        <f>IF(C39=X9,C40,AK8)</f>
        <v>0</v>
      </c>
      <c r="AL9" s="233">
        <f>IF(C42=X9,C43,AL8)</f>
        <v>0</v>
      </c>
      <c r="AM9" s="233">
        <f>IF(C45=X9,C46,AM8)</f>
        <v>0</v>
      </c>
      <c r="AN9" s="233">
        <f>IF(C48=X9,C49,AN8)</f>
        <v>0</v>
      </c>
      <c r="AO9" s="233">
        <f>IF(C51=X9,C52,AO8)</f>
        <v>0</v>
      </c>
      <c r="AP9" s="233">
        <f>IF(C59=X9,C60,AP8)</f>
        <v>0</v>
      </c>
      <c r="AQ9" s="234">
        <v>15930</v>
      </c>
    </row>
    <row r="10" spans="2:44" ht="20.100000000000001" customHeight="1" x14ac:dyDescent="0.3">
      <c r="B10" s="605"/>
      <c r="C10" s="441" t="s">
        <v>19</v>
      </c>
      <c r="E10" s="550"/>
      <c r="F10" s="551">
        <f>IF(AND(F31="YES",C32=J10),K10*C31/F33*E31+K10*C33/F33*E33,IF(AND(F31="YES",F32&lt;=11),K10*C33,K10*C31))</f>
        <v>0</v>
      </c>
      <c r="G10" s="589">
        <f t="shared" si="2"/>
        <v>0</v>
      </c>
      <c r="H10" s="552"/>
      <c r="I10" s="514">
        <v>0.22008</v>
      </c>
      <c r="J10" s="597" t="str">
        <f>INFO!AM40</f>
        <v>Nov-2017</v>
      </c>
      <c r="K10" s="596">
        <f t="shared" si="0"/>
        <v>0</v>
      </c>
      <c r="L10" s="598">
        <f t="shared" si="3"/>
        <v>0</v>
      </c>
      <c r="M10" s="602">
        <f>IF(C14="GPF",AP10,IF(C14="CPS",'ANNEXURE I'!M13,0))</f>
        <v>0</v>
      </c>
      <c r="N10" s="599">
        <f>IF(AND(C14="GPF",C62=J10),C63,N9)</f>
        <v>0</v>
      </c>
      <c r="O10" s="602">
        <f>IF(C65="YES",1350,0)</f>
        <v>0</v>
      </c>
      <c r="P10" s="599">
        <f t="shared" si="13"/>
        <v>0</v>
      </c>
      <c r="Q10" s="602">
        <f>IF(AND(C73="YES",C75=J10),C76,Q9)</f>
        <v>0</v>
      </c>
      <c r="R10" s="600"/>
      <c r="S10" s="601"/>
      <c r="T10" s="601"/>
      <c r="U10" s="609" t="str">
        <f t="shared" si="4"/>
        <v>Nov-2017</v>
      </c>
      <c r="V10" s="511">
        <f t="shared" si="1"/>
        <v>0.22008</v>
      </c>
      <c r="W10" s="216">
        <f>IF(AND(C32=X10),C33,W9)</f>
        <v>0</v>
      </c>
      <c r="X10" s="455" t="str">
        <f t="shared" si="5"/>
        <v>Nov-2017</v>
      </c>
      <c r="Y10" s="235">
        <f t="shared" si="11"/>
        <v>0</v>
      </c>
      <c r="Z10" s="228">
        <f>C20</f>
        <v>0</v>
      </c>
      <c r="AA10" s="229" t="str">
        <f t="shared" si="6"/>
        <v/>
      </c>
      <c r="AB10" s="230" t="str">
        <f t="shared" si="7"/>
        <v/>
      </c>
      <c r="AC10" s="231" t="str">
        <f>IF(AA10="YES",C23,"")</f>
        <v/>
      </c>
      <c r="AD10" s="236">
        <f>IF(AND(X10=Z10,AD9&gt;=13000,AD9&lt;14170),(AD9+390),IF(AND(X10=Z10,AD9&gt;=14170,AD9&lt;15460),(AD9+430),IF(AND(X10=Z10,AD9&gt;=15460,AD9&lt;16870),(AD9+470),IF(AND(X10=Z10,AD9&gt;=16870,AD9&lt;18400),(AD9+510),IF(AND(X10=Z10,AD9&gt;=18400,AD9&lt;20050),(AD9+550),IF(AND(X10=Z10,AD9&gt;=20050,AD9&lt;21820),(AD9+590),IF(AND(X10=Z10,AD9&gt;=21820,AD9&lt;23740),(AD9+640),IF(AND(X10=Z10,AD9&gt;=23740,AD9&lt;25840),(AD9+700),IF(AND(X10=Z10,AD9&gt;=25840,AD9&lt;28120),(AD9+760),IF(AND(X10=Z10,AD9&gt;=28120,AD9&lt;30580),(AD9+820),IF(AND(X10=Z10,AD9&gt;=30580,AD9&lt;33220),(AD9+880),IF(AND(X10=Z10,AD9&gt;=33220,AD9&lt;36070),(AD9+950),IF(AND(X10=Z10,AD9&gt;=36070,AD9&lt;39160),(AD9+1030),IF(AND(X10=Z10,AD9&gt;=39160,AD9&lt;42490),(AD9+1110),IF(AND(X10=Z10,AD9&gt;=42490,AD9&lt;46060),(AD9+1190),IF(AND(X10=Z10,AD9&gt;=46060,AD9&lt;49870),(AD9+1270),IF(AND(X10=Z10,AD9&gt;=49870,AD9&lt;53950),(AD9+1360),IF(AND(X10=Z10,AD9&gt;=53950,AD9&lt;58330),(AD9+1460),IF(AND(X10=Z10,AD9&gt;=58330,AD9&lt;63010),(AD9+1560),IF(AND(X10=Z10,AD9&gt;=63010,AD9&lt;67990),(AD9+1660),IF(AND(X10=Z10,AD9&gt;=67990,AD9&lt;73270),(AD9+1760),IF(AND(X10=Z10,AD9&gt;=73270,AD9&lt;78910),(AD9+1880),IF(AND(X10=Z10,AD9&gt;=78910,AD9&lt;84970),(AD9+2020),IF(AND(X10=Z10,AD9&gt;=84970,AD9&lt;91450),(AD9+2160),IF(AND(X10=Z10,AD9&gt;=91450,AD9&lt;100770),(AD9+2330),IF(AND(X10=Z10,AD9&gt;=100770,AD9&lt;110850),(AD9+2520),IF(AND(AA9="YES",AD9&gt;=13000,AD9&lt;14170),(AD9+390),IF(AND(AA9="YES",AD9&gt;=14170,AD9&lt;15460),(AD9+430),IF(AND(AA9="YES",AD9&gt;=15460,AD9&lt;16870),(AD9+470),IF(AND(AA9="YES",AD9&gt;=16870,AD9&lt;18400),(AD9+510),IF(AND(AA9="YES",AD9&gt;=18400,AD9&lt;20050),(AD9+550),IF(AND(AA9="YES",AD9&gt;=20050,AD9&lt;21820),(AD9+590),IF(AND(AA9="YES",AD9&gt;=21820,AD9&lt;23740),(AD9+640),IF(AND(AA9="YES",AD9&gt;=23740,AD9&lt;25840),(AD9+700),IF(AND(AA9="YES",AD9&gt;=25840,AD9&lt;28120),(AD9+760),IF(AND(AA9="YES",AD9&gt;=28120,AD9&lt;30580),(AD9+820),IF(AND(AA9="YES",AD9&gt;=30580,AD9&lt;33220),(AD9+880),IF(AND(AA9="YES",AD9&gt;=33220,AD9&lt;36070),(AD9+950),IF(AND(AA9="YES",AD9&gt;=36070,AD9&lt;39160),(AD9+1030),IF(AND(AA9="YES",AD9&gt;=39160,AD9&lt;42490),(AD9+1110),IF(AND(AA9="YES",AD9&gt;=42490,AD9&lt;46060),(AD9+1190),IF(AND(AA9="YES",AD9&gt;=46060,AD9&lt;49870),(AD9+1270),IF(AND(AA9="YES",AD9&gt;=49870,AD9&lt;53950),(AD9+1360),IF(AND(AA9="YES",AD9&gt;=53950,AD9&lt;58330),(AD9+1460),IF(AND(AA9="YES",AD9&gt;=58330,AD9&lt;63010),(AD9+1560),IF(AND(AA9="YES",AD9&gt;=63010,AD9&lt;67990),(AD9+1660),IF(AND(AA9="YES",AD9&gt;=67990,AD9&lt;73270),(AD9+1760),IF(AND(AA9="YES",AD9&gt;=73270,AD9&lt;78910),(AD9+1880),IF(AND(AA9="YES",AD9&gt;=78910,AD9&lt;84970),(AD9+2020),IF(AND(AA9="YES",AD9&gt;=84970,AD9&lt;91450),(AD9+2160),IF(AND(AA9="YES",AD9&gt;=91450,AD9&lt;100770),(AD9+2330),IF(AND(AA9="YES",AD9&gt;=100770,AD9&lt;110850),(AD9+2520),AD9))))))))))))))))))))))))))))))))))))))))))))))))))))</f>
        <v>0</v>
      </c>
      <c r="AE10" s="456" t="str">
        <f t="shared" si="9"/>
        <v>Nov-2017</v>
      </c>
      <c r="AF10" s="403">
        <f>IF(AA10="YES",(AD11-AD10)/AE19*AE20,0)</f>
        <v>0</v>
      </c>
      <c r="AG10" s="291">
        <f t="shared" si="12"/>
        <v>0</v>
      </c>
      <c r="AH10" s="292">
        <f t="shared" si="10"/>
        <v>0</v>
      </c>
      <c r="AI10" s="311">
        <f>IF(AND(C24="YES",C25=AE10),ROUND((AH10/AI19)*AI20,0),AH10)</f>
        <v>0</v>
      </c>
      <c r="AJ10" s="404">
        <f>AF10/AE19*AI20</f>
        <v>0</v>
      </c>
      <c r="AK10" s="288">
        <f>IF(C39=X10,C40,AK9)</f>
        <v>0</v>
      </c>
      <c r="AL10" s="233">
        <f>IF(C42=X10,C43,AL9)</f>
        <v>0</v>
      </c>
      <c r="AM10" s="233">
        <f>IF(C45=X10,C46,AM9)</f>
        <v>0</v>
      </c>
      <c r="AN10" s="233">
        <f>IF(C48=X10,C49,AN9)</f>
        <v>0</v>
      </c>
      <c r="AO10" s="233">
        <f>IF(C51=X10,C52,AO9)</f>
        <v>0</v>
      </c>
      <c r="AP10" s="233">
        <f>IF(C59=X10,C60,AP9)</f>
        <v>0</v>
      </c>
      <c r="AQ10" s="234">
        <v>16400</v>
      </c>
    </row>
    <row r="11" spans="2:44" ht="20.100000000000001" customHeight="1" x14ac:dyDescent="0.3">
      <c r="B11" s="605"/>
      <c r="C11" s="441" t="s">
        <v>20</v>
      </c>
      <c r="E11" s="550"/>
      <c r="F11" s="551">
        <f>IF(AND(F31="YES",C32=J11),K11*C31/F33*E31+K11*C33/F33*E33,IF(AND(F31="YES",F32&lt;=12),K11*C33,K11*C31))</f>
        <v>0</v>
      </c>
      <c r="G11" s="589">
        <f t="shared" si="2"/>
        <v>0</v>
      </c>
      <c r="H11" s="552"/>
      <c r="I11" s="514">
        <v>0.22008</v>
      </c>
      <c r="J11" s="597" t="str">
        <f>INFO!AM41</f>
        <v>Dec-2017</v>
      </c>
      <c r="K11" s="596">
        <f t="shared" si="0"/>
        <v>0</v>
      </c>
      <c r="L11" s="598">
        <f t="shared" si="3"/>
        <v>0</v>
      </c>
      <c r="M11" s="602">
        <f>IF(C14="GPF",AP11,IF(C14="CPS",'ANNEXURE I'!M14,0))</f>
        <v>0</v>
      </c>
      <c r="N11" s="599">
        <f>IF(AND(C14="GPF",C62=J11),C63,N10)</f>
        <v>0</v>
      </c>
      <c r="O11" s="602">
        <f>IF(C65="YES",1350,0)</f>
        <v>0</v>
      </c>
      <c r="P11" s="599">
        <f t="shared" si="13"/>
        <v>0</v>
      </c>
      <c r="Q11" s="602">
        <f>IF(AND(C73="YES",C75=J11),C76,Q10)</f>
        <v>0</v>
      </c>
      <c r="R11" s="600"/>
      <c r="S11" s="601"/>
      <c r="T11" s="601"/>
      <c r="U11" s="609" t="str">
        <f t="shared" si="4"/>
        <v>Dec-2017</v>
      </c>
      <c r="V11" s="511">
        <f t="shared" si="1"/>
        <v>0.22008</v>
      </c>
      <c r="W11" s="216">
        <f>IF(AND(C32=X11),C33,W10)</f>
        <v>0</v>
      </c>
      <c r="X11" s="455" t="str">
        <f t="shared" si="5"/>
        <v>Dec-2017</v>
      </c>
      <c r="Y11" s="235">
        <f t="shared" si="11"/>
        <v>0</v>
      </c>
      <c r="Z11" s="228">
        <f>C20</f>
        <v>0</v>
      </c>
      <c r="AA11" s="229" t="str">
        <f t="shared" si="6"/>
        <v/>
      </c>
      <c r="AB11" s="230" t="str">
        <f t="shared" si="7"/>
        <v/>
      </c>
      <c r="AC11" s="231" t="str">
        <f>IF(AA11="YES",C23,"")</f>
        <v/>
      </c>
      <c r="AD11" s="236">
        <f t="shared" si="14"/>
        <v>0</v>
      </c>
      <c r="AE11" s="456" t="str">
        <f t="shared" si="9"/>
        <v>Dec-2017</v>
      </c>
      <c r="AF11" s="403">
        <f>IF(AA11="YES",(AD12-AD11)/AE19*AE20,0)</f>
        <v>0</v>
      </c>
      <c r="AG11" s="291">
        <f t="shared" si="12"/>
        <v>0</v>
      </c>
      <c r="AH11" s="292">
        <f t="shared" si="10"/>
        <v>0</v>
      </c>
      <c r="AI11" s="311">
        <f>IF(AND(C24="YES",C25=AE11),ROUND((AH11/AI19)*AI20,0),AH11)</f>
        <v>0</v>
      </c>
      <c r="AJ11" s="404">
        <f>AF11/AE19*AI20</f>
        <v>0</v>
      </c>
      <c r="AK11" s="288">
        <f>IF(C39=X11,C40,AK10)</f>
        <v>0</v>
      </c>
      <c r="AL11" s="233">
        <f>IF(C42=X11,C43,AL10)</f>
        <v>0</v>
      </c>
      <c r="AM11" s="233">
        <f>IF(C45=X11,C46,AM10)</f>
        <v>0</v>
      </c>
      <c r="AN11" s="233">
        <f>IF(C48=X11,C49,AN10)</f>
        <v>0</v>
      </c>
      <c r="AO11" s="233">
        <f>IF(C51=X11,C52,AO10)</f>
        <v>0</v>
      </c>
      <c r="AP11" s="233">
        <f>IF(C59=X11,C60,AP10)</f>
        <v>0</v>
      </c>
      <c r="AQ11" s="234">
        <v>16870</v>
      </c>
    </row>
    <row r="12" spans="2:44" ht="20.100000000000001" customHeight="1" x14ac:dyDescent="0.3">
      <c r="B12" s="605"/>
      <c r="C12" s="441" t="s">
        <v>317</v>
      </c>
      <c r="E12" s="550"/>
      <c r="F12" s="551">
        <f>IF(AND(F31="YES",C32=J12),K12*C31/F33*E31+K12*C33/F33*E33,IF(AND(F31="YES",F32&lt;=13),K12*C33,K12*C31))</f>
        <v>0</v>
      </c>
      <c r="G12" s="589">
        <f t="shared" si="2"/>
        <v>0</v>
      </c>
      <c r="H12" s="552"/>
      <c r="I12" s="514">
        <v>0.22008</v>
      </c>
      <c r="J12" s="597" t="str">
        <f>INFO!AM42</f>
        <v>Jan-2018</v>
      </c>
      <c r="K12" s="596">
        <f t="shared" si="0"/>
        <v>0</v>
      </c>
      <c r="L12" s="598">
        <f t="shared" si="3"/>
        <v>0</v>
      </c>
      <c r="M12" s="602">
        <f>IF(C14="GPF",AP12,IF(C14="CPS",'ANNEXURE I'!M15,0))</f>
        <v>0</v>
      </c>
      <c r="N12" s="599">
        <f>IF(AND(C14="GPF",C62=J12),C63,N11)</f>
        <v>0</v>
      </c>
      <c r="O12" s="602">
        <f>IF(C65="YES",1350,0)</f>
        <v>0</v>
      </c>
      <c r="P12" s="599">
        <f t="shared" si="13"/>
        <v>0</v>
      </c>
      <c r="Q12" s="602">
        <f>IF(AND(C73="YES",C75=J12),C76,Q11)</f>
        <v>0</v>
      </c>
      <c r="R12" s="600"/>
      <c r="S12" s="601"/>
      <c r="T12" s="601"/>
      <c r="U12" s="609" t="str">
        <f t="shared" si="4"/>
        <v>Jan-2018</v>
      </c>
      <c r="V12" s="511">
        <f t="shared" si="1"/>
        <v>0.22008</v>
      </c>
      <c r="W12" s="216">
        <f>IF(AND(C32=X12),C33,W11)</f>
        <v>0</v>
      </c>
      <c r="X12" s="455" t="str">
        <f t="shared" si="5"/>
        <v>Jan-2018</v>
      </c>
      <c r="Y12" s="235">
        <f t="shared" si="11"/>
        <v>0</v>
      </c>
      <c r="Z12" s="228">
        <f>C20</f>
        <v>0</v>
      </c>
      <c r="AA12" s="229" t="str">
        <f t="shared" si="6"/>
        <v/>
      </c>
      <c r="AB12" s="230" t="str">
        <f t="shared" si="7"/>
        <v/>
      </c>
      <c r="AC12" s="231" t="str">
        <f>IF(AA12="YES",C23,"")</f>
        <v/>
      </c>
      <c r="AD12" s="236">
        <f t="shared" si="14"/>
        <v>0</v>
      </c>
      <c r="AE12" s="456" t="str">
        <f t="shared" si="9"/>
        <v>Jan-2018</v>
      </c>
      <c r="AF12" s="403">
        <f>IF(AA12="YES",(AD13-AD12)/AE19*AE20,0)</f>
        <v>0</v>
      </c>
      <c r="AG12" s="291">
        <f t="shared" si="12"/>
        <v>0</v>
      </c>
      <c r="AH12" s="292">
        <f t="shared" si="10"/>
        <v>0</v>
      </c>
      <c r="AI12" s="311">
        <f>IF(AND(C24="YES",C25=AE12),ROUND((AH12/AI19)*AI20,0),AH12)</f>
        <v>0</v>
      </c>
      <c r="AJ12" s="404">
        <f>AF12/AE19*AI20</f>
        <v>0</v>
      </c>
      <c r="AK12" s="288">
        <f>IF(C39=X12,C40,AK11)</f>
        <v>0</v>
      </c>
      <c r="AL12" s="233">
        <f>IF(C42=X12,C43,AL11)</f>
        <v>0</v>
      </c>
      <c r="AM12" s="233">
        <f>IF(C45=X12,C46,AM11)</f>
        <v>0</v>
      </c>
      <c r="AN12" s="233">
        <f>IF(C48=X12,C49,AN11)</f>
        <v>0</v>
      </c>
      <c r="AO12" s="233">
        <f>IF(C51=X12,C52,AO11)</f>
        <v>0</v>
      </c>
      <c r="AP12" s="233">
        <f>IF(C59=X12,C60,AP11)</f>
        <v>0</v>
      </c>
      <c r="AQ12" s="234">
        <v>17380</v>
      </c>
    </row>
    <row r="13" spans="2:44" ht="20.100000000000001" customHeight="1" x14ac:dyDescent="0.3">
      <c r="B13" s="605"/>
      <c r="C13" s="441" t="s">
        <v>21</v>
      </c>
      <c r="E13" s="550"/>
      <c r="F13" s="551">
        <f>IF(AND(F31="YES",C32=J13),K13*C31/F33*E31+K13*C33/F33*E33,IF(AND(F31="YES",F32&lt;=14),K13*C33,K13*C31))</f>
        <v>0</v>
      </c>
      <c r="G13" s="589">
        <f t="shared" si="2"/>
        <v>0</v>
      </c>
      <c r="H13" s="552"/>
      <c r="I13" s="514">
        <v>0.22008</v>
      </c>
      <c r="J13" s="597" t="str">
        <f>INFO!AM43</f>
        <v>Feb-2018</v>
      </c>
      <c r="K13" s="596">
        <f t="shared" si="0"/>
        <v>0</v>
      </c>
      <c r="L13" s="598">
        <f t="shared" si="3"/>
        <v>0</v>
      </c>
      <c r="M13" s="602">
        <f>IF(C14="GPF",AP13,IF(C14="CPS",'ANNEXURE I'!M16,0))</f>
        <v>0</v>
      </c>
      <c r="N13" s="599">
        <f>IF(AND(C14="GPF",C62=J13),C63,N12)</f>
        <v>0</v>
      </c>
      <c r="O13" s="602">
        <f>IF(C65="YES",1350,0)</f>
        <v>0</v>
      </c>
      <c r="P13" s="599">
        <f t="shared" si="13"/>
        <v>0</v>
      </c>
      <c r="Q13" s="602">
        <f>IF(AND(C73="YES",C75=J13),C76,Q12)</f>
        <v>0</v>
      </c>
      <c r="R13" s="600"/>
      <c r="S13" s="601"/>
      <c r="T13" s="601"/>
      <c r="U13" s="609" t="str">
        <f t="shared" si="4"/>
        <v>Feb-2018</v>
      </c>
      <c r="V13" s="511">
        <f t="shared" si="1"/>
        <v>0.22008</v>
      </c>
      <c r="W13" s="216">
        <f>IF(AND(C32=X13),C33,W12)</f>
        <v>0</v>
      </c>
      <c r="X13" s="455" t="str">
        <f t="shared" si="5"/>
        <v>Feb-2018</v>
      </c>
      <c r="Y13" s="235">
        <f t="shared" si="11"/>
        <v>0</v>
      </c>
      <c r="Z13" s="228">
        <f>C20</f>
        <v>0</v>
      </c>
      <c r="AA13" s="229" t="str">
        <f t="shared" si="6"/>
        <v/>
      </c>
      <c r="AB13" s="230" t="str">
        <f t="shared" si="7"/>
        <v/>
      </c>
      <c r="AC13" s="231" t="str">
        <f>IF(AA13="YES",C23,"")</f>
        <v/>
      </c>
      <c r="AD13" s="236">
        <f t="shared" si="14"/>
        <v>0</v>
      </c>
      <c r="AE13" s="456" t="str">
        <f t="shared" si="9"/>
        <v>Feb-2018</v>
      </c>
      <c r="AF13" s="403">
        <f>IF(AA13="YES",(AD14-AD13)/AE19*AE20,0)</f>
        <v>0</v>
      </c>
      <c r="AG13" s="291">
        <f t="shared" si="12"/>
        <v>0</v>
      </c>
      <c r="AH13" s="292">
        <f t="shared" si="10"/>
        <v>0</v>
      </c>
      <c r="AI13" s="311">
        <f>IF(AND(C24="YES",C25=AE13),ROUND((AH13/AI19)*AI20,0),AH13)</f>
        <v>0</v>
      </c>
      <c r="AJ13" s="404">
        <f>AF13/AE19*AI20</f>
        <v>0</v>
      </c>
      <c r="AK13" s="288">
        <f>IF(C39=X13,C40,AK12)</f>
        <v>0</v>
      </c>
      <c r="AL13" s="233">
        <f>IF(C42=X13,C43,AL12)</f>
        <v>0</v>
      </c>
      <c r="AM13" s="233">
        <f>IF(C45=X13,C46,AM12)</f>
        <v>0</v>
      </c>
      <c r="AN13" s="233">
        <f>IF(C48=X13,C49,AN12)</f>
        <v>0</v>
      </c>
      <c r="AO13" s="233">
        <f>IF(C51=X13,C52,AO12)</f>
        <v>0</v>
      </c>
      <c r="AP13" s="233">
        <f>IF(C59=X13,C60,AP12)</f>
        <v>0</v>
      </c>
      <c r="AQ13" s="234">
        <v>17890</v>
      </c>
    </row>
    <row r="14" spans="2:44" ht="20.100000000000001" customHeight="1" x14ac:dyDescent="0.3">
      <c r="B14" s="698" t="s">
        <v>668</v>
      </c>
      <c r="C14" s="700"/>
      <c r="H14" s="545"/>
      <c r="I14" s="524"/>
      <c r="J14" s="712" t="s">
        <v>661</v>
      </c>
      <c r="K14" s="712"/>
      <c r="L14" s="712"/>
      <c r="M14" s="529">
        <v>20</v>
      </c>
      <c r="N14" s="712" t="s">
        <v>662</v>
      </c>
      <c r="O14" s="712"/>
      <c r="P14" s="712"/>
      <c r="Q14" s="529">
        <v>50</v>
      </c>
      <c r="R14" s="799" t="s">
        <v>665</v>
      </c>
      <c r="S14" s="799"/>
      <c r="T14" s="799"/>
      <c r="U14" s="612"/>
      <c r="V14" s="607"/>
      <c r="W14" s="221"/>
      <c r="X14" s="455" t="str">
        <f t="shared" si="5"/>
        <v>Mar-2018</v>
      </c>
      <c r="Y14" s="235">
        <f t="shared" si="11"/>
        <v>0</v>
      </c>
      <c r="Z14" s="237">
        <f>C20</f>
        <v>0</v>
      </c>
      <c r="AA14" s="229" t="str">
        <f t="shared" si="6"/>
        <v/>
      </c>
      <c r="AB14" s="238" t="str">
        <f t="shared" si="7"/>
        <v/>
      </c>
      <c r="AC14" s="231" t="str">
        <f>IF(AA14="YES",C23,"")</f>
        <v/>
      </c>
      <c r="AD14" s="236">
        <f t="shared" si="14"/>
        <v>0</v>
      </c>
      <c r="AE14" s="456" t="str">
        <f t="shared" si="9"/>
        <v>Mar-2018</v>
      </c>
      <c r="AF14" s="403">
        <f>IF(AA14="YES",(AD15-AD14)/AE19*AE20,0)</f>
        <v>0</v>
      </c>
      <c r="AG14" s="291">
        <f t="shared" si="12"/>
        <v>0</v>
      </c>
      <c r="AH14" s="292">
        <f t="shared" si="10"/>
        <v>0</v>
      </c>
      <c r="AI14" s="311"/>
      <c r="AJ14" s="313"/>
      <c r="AQ14" s="234">
        <v>18400</v>
      </c>
    </row>
    <row r="15" spans="2:44" ht="21" customHeight="1" x14ac:dyDescent="0.3">
      <c r="B15" s="699"/>
      <c r="C15" s="700"/>
      <c r="E15" s="555">
        <f>IF(B12="",0,IF(C14="",0,IF(C14="GPF",0,IF(C14="CPS",1,0))))</f>
        <v>0</v>
      </c>
      <c r="F15" s="556"/>
      <c r="G15" s="557"/>
      <c r="H15" s="573"/>
      <c r="I15" s="760" t="str">
        <f>IF(C19="","",IF(C19&gt;0,"PROMOTION అందుకున్న వారికి , LOSS OF PAY (EOL) వారికి  &amp; Mar_2017 లో AAS అందుకున్న వారికి ఈ SOFTWARE ఉపయోగపడదు.",""))</f>
        <v/>
      </c>
      <c r="J15" s="760"/>
      <c r="K15" s="760"/>
      <c r="L15" s="760"/>
      <c r="M15" s="760"/>
      <c r="N15" s="760"/>
      <c r="O15" s="760"/>
      <c r="P15" s="760"/>
      <c r="Q15" s="760"/>
      <c r="R15" s="760"/>
      <c r="S15" s="760"/>
      <c r="T15" s="760"/>
      <c r="U15" s="512"/>
      <c r="V15" s="241"/>
      <c r="W15" s="241"/>
      <c r="X15" s="455" t="str">
        <f t="shared" si="5"/>
        <v>Apr-2018</v>
      </c>
      <c r="Y15" s="235">
        <f t="shared" si="11"/>
        <v>0</v>
      </c>
      <c r="Z15" s="237">
        <f>C20</f>
        <v>0</v>
      </c>
      <c r="AA15" s="229" t="str">
        <f t="shared" si="6"/>
        <v/>
      </c>
      <c r="AB15" s="238" t="str">
        <f t="shared" si="7"/>
        <v/>
      </c>
      <c r="AC15" s="231" t="str">
        <f>IF(AA15="YES",C23,"")</f>
        <v/>
      </c>
      <c r="AD15" s="236">
        <f t="shared" si="14"/>
        <v>0</v>
      </c>
      <c r="AE15" s="456" t="str">
        <f t="shared" si="9"/>
        <v>Apr-2018</v>
      </c>
      <c r="AF15" s="286"/>
      <c r="AG15" s="291">
        <f t="shared" si="12"/>
        <v>0</v>
      </c>
      <c r="AH15" s="292">
        <f t="shared" si="10"/>
        <v>0</v>
      </c>
      <c r="AI15" s="311"/>
      <c r="AJ15" s="313"/>
      <c r="AQ15" s="234">
        <v>18950</v>
      </c>
    </row>
    <row r="16" spans="2:44" ht="21" customHeight="1" thickBot="1" x14ac:dyDescent="0.25">
      <c r="B16" s="707" t="s">
        <v>634</v>
      </c>
      <c r="C16" s="708" t="s">
        <v>261</v>
      </c>
      <c r="H16" s="613"/>
      <c r="I16" s="793" t="str">
        <f>IF(C99&gt;=0,CONCATENATE(UPPER(B2)," గారు  భారత ప్రభుత్వానికి మీరు చెల్లించాల్సిన ఆదాయ పన్ను అక్షరాలా  : 
",NUM_WORD_TAX!E19),
IF(C99="NO TAX",CONCATENATE(UPPER(B2)," గారు  భారత ప్రభుత్వానికి మీరు చెల్లించాల్సిన ఆదాయ పన్ను అక్షరాలా  : 
",NUM_WORD_TAX!E19),
IF(C99&lt;0,CONCATENATE(UPPER(B2)," గారు  భారత ప్రభుత్వానికి మీరు అదనంగా పన్ను చెల్లించారు. 
అదనంగా చెల్లించిన పన్నును త్వరలోనే మీరు తిరిగి అందుకుంటారు."),"")))</f>
        <v xml:space="preserve"> గారు  భారత ప్రభుత్వానికి మీరు చెల్లించాల్సిన ఆదాయ పన్ను అక్షరాలా  : 
శూన్యం</v>
      </c>
      <c r="J16" s="794"/>
      <c r="K16" s="794"/>
      <c r="L16" s="794"/>
      <c r="M16" s="794"/>
      <c r="N16" s="794"/>
      <c r="O16" s="794"/>
      <c r="P16" s="794"/>
      <c r="Q16" s="794"/>
      <c r="R16" s="794"/>
      <c r="S16" s="794"/>
      <c r="T16" s="795"/>
      <c r="V16" s="242"/>
      <c r="W16" s="243"/>
      <c r="X16" s="244"/>
      <c r="Y16" s="245"/>
      <c r="Z16" s="246"/>
      <c r="AA16" s="247"/>
      <c r="AB16" s="244"/>
      <c r="AC16" s="248"/>
      <c r="AD16" s="248"/>
      <c r="AE16" s="249"/>
      <c r="AF16" s="250"/>
      <c r="AG16" s="251"/>
      <c r="AH16" s="252"/>
      <c r="AI16" s="252"/>
      <c r="AJ16" s="252"/>
      <c r="AQ16" s="234">
        <v>19500</v>
      </c>
    </row>
    <row r="17" spans="2:43" ht="21" customHeight="1" x14ac:dyDescent="0.2">
      <c r="B17" s="707"/>
      <c r="C17" s="708"/>
      <c r="H17" s="613"/>
      <c r="I17" s="796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8"/>
      <c r="AC17" s="253" t="s">
        <v>396</v>
      </c>
      <c r="AD17" s="626">
        <f>IF(C22="NOT APPLICABLE",0,C22)</f>
        <v>0</v>
      </c>
      <c r="AE17" s="627"/>
      <c r="AG17" s="253" t="s">
        <v>409</v>
      </c>
      <c r="AH17" s="626">
        <f>IF(C24="YES",C25,0)</f>
        <v>0</v>
      </c>
      <c r="AI17" s="627"/>
      <c r="AJ17" s="314"/>
      <c r="AQ17" s="234">
        <v>20050</v>
      </c>
    </row>
    <row r="18" spans="2:43" ht="21" customHeight="1" x14ac:dyDescent="0.2">
      <c r="B18" s="706" t="str">
        <f>IF(C19&gt;0,"మీకు వర్తించని ఏ BOX లో నైనా సరే ఖాళీగా లేదా సున్నాలుగా ఉంచవచ్చు","")</f>
        <v/>
      </c>
      <c r="C18" s="706"/>
      <c r="H18" s="565"/>
      <c r="I18" s="796"/>
      <c r="J18" s="797"/>
      <c r="K18" s="797"/>
      <c r="L18" s="797"/>
      <c r="M18" s="797"/>
      <c r="N18" s="797"/>
      <c r="O18" s="797"/>
      <c r="P18" s="797"/>
      <c r="Q18" s="797"/>
      <c r="R18" s="797"/>
      <c r="S18" s="797"/>
      <c r="T18" s="798"/>
      <c r="AC18" s="254" t="s">
        <v>397</v>
      </c>
      <c r="AD18" s="628">
        <f>EOMONTH(AD17,0)</f>
        <v>31</v>
      </c>
      <c r="AE18" s="629"/>
      <c r="AG18" s="254" t="s">
        <v>410</v>
      </c>
      <c r="AH18" s="628">
        <f>EOMONTH(AH17,0)</f>
        <v>31</v>
      </c>
      <c r="AI18" s="629"/>
      <c r="AJ18" s="314"/>
      <c r="AQ18" s="255">
        <v>20640</v>
      </c>
    </row>
    <row r="19" spans="2:43" ht="21" customHeight="1" x14ac:dyDescent="0.3">
      <c r="B19" s="468" t="s">
        <v>399</v>
      </c>
      <c r="C19" s="444"/>
      <c r="H19" s="545"/>
      <c r="I19" s="800" t="s">
        <v>9</v>
      </c>
      <c r="J19" s="800"/>
      <c r="K19" s="214" t="s">
        <v>10</v>
      </c>
      <c r="L19" s="214" t="s">
        <v>11</v>
      </c>
      <c r="M19" s="214" t="s">
        <v>12</v>
      </c>
      <c r="N19" s="437" t="s">
        <v>65</v>
      </c>
      <c r="O19" s="610" t="s">
        <v>14</v>
      </c>
      <c r="P19" s="611" t="s">
        <v>13</v>
      </c>
      <c r="Q19" s="787" t="str">
        <f>IF(K24=0,"DA ARREARS
GROSS AND NET
వివరాలను MANUAL గా
నమోదు చెయ్యండి","AAS ARREARS వివరాలు తప్పుగా
నమోదు అయ్యి ఉంటే
AAS_MANUAL పక్కన
మీరు CORRECT గా నమోదు చెయ్యండి.")</f>
        <v>DA ARREARS
GROSS AND NET
వివరాలను MANUAL గా
నమోదు చెయ్యండి</v>
      </c>
      <c r="R19" s="788"/>
      <c r="S19" s="788"/>
      <c r="T19" s="789"/>
      <c r="X19" s="256"/>
      <c r="Y19" s="256"/>
      <c r="AA19" s="239"/>
      <c r="AB19" s="239"/>
      <c r="AC19" s="312">
        <f>MAX(AC2:AC13)</f>
        <v>0</v>
      </c>
      <c r="AD19" s="257">
        <f>DATEDIF(AD17,AD18,"MD")</f>
        <v>31</v>
      </c>
      <c r="AE19" s="258">
        <f>AD19+1</f>
        <v>32</v>
      </c>
      <c r="AF19" s="239"/>
      <c r="AG19" s="312">
        <f>C26/2</f>
        <v>0</v>
      </c>
      <c r="AH19" s="257">
        <f>DATEDIF(AH17,AH18,"MD")</f>
        <v>31</v>
      </c>
      <c r="AI19" s="258">
        <f>AH19+1</f>
        <v>32</v>
      </c>
      <c r="AJ19" s="315"/>
      <c r="AQ19" s="255">
        <v>21230</v>
      </c>
    </row>
    <row r="20" spans="2:43" ht="21" customHeight="1" thickBot="1" x14ac:dyDescent="0.3">
      <c r="B20" s="468" t="str">
        <f>IF(C19&gt;0,"March_2017 తర్వాత Increment నెలను ఎంచుకోండి","")</f>
        <v/>
      </c>
      <c r="C20" s="497"/>
      <c r="H20" s="545"/>
      <c r="I20" s="775" t="s">
        <v>650</v>
      </c>
      <c r="J20" s="776"/>
      <c r="K20" s="762" t="s">
        <v>230</v>
      </c>
      <c r="L20" s="762"/>
      <c r="M20" s="762"/>
      <c r="N20" s="517"/>
      <c r="O20" s="516"/>
      <c r="P20" s="218">
        <f>N20-O20</f>
        <v>0</v>
      </c>
      <c r="Q20" s="790"/>
      <c r="R20" s="791"/>
      <c r="S20" s="791"/>
      <c r="T20" s="792"/>
      <c r="V20" s="259"/>
      <c r="W20" s="259"/>
      <c r="X20" s="256"/>
      <c r="Y20" s="256"/>
      <c r="AA20" s="239"/>
      <c r="AB20" s="239"/>
      <c r="AC20" s="630" t="s">
        <v>387</v>
      </c>
      <c r="AD20" s="631"/>
      <c r="AE20" s="260">
        <f>AE19-AC19+1</f>
        <v>33</v>
      </c>
      <c r="AF20" s="239"/>
      <c r="AG20" s="630" t="s">
        <v>387</v>
      </c>
      <c r="AH20" s="631"/>
      <c r="AI20" s="260">
        <f>AI19-AG19</f>
        <v>32</v>
      </c>
      <c r="AJ20" s="315"/>
      <c r="AO20" s="232"/>
      <c r="AQ20" s="261">
        <v>21820</v>
      </c>
    </row>
    <row r="21" spans="2:43" ht="21" customHeight="1" x14ac:dyDescent="0.3">
      <c r="B21" s="469" t="str">
        <f>IF(C20&gt;0,"AAS 6/12/18/24 Applicalbe అయినదా ? (YES/NO)","")</f>
        <v/>
      </c>
      <c r="C21" s="219"/>
      <c r="H21" s="545"/>
      <c r="I21" s="777"/>
      <c r="J21" s="778"/>
      <c r="K21" s="761" t="s">
        <v>231</v>
      </c>
      <c r="L21" s="761"/>
      <c r="M21" s="761"/>
      <c r="N21" s="517"/>
      <c r="O21" s="516"/>
      <c r="P21" s="218">
        <f>N21-O21</f>
        <v>0</v>
      </c>
      <c r="Q21" s="790"/>
      <c r="R21" s="791"/>
      <c r="S21" s="791"/>
      <c r="T21" s="792"/>
      <c r="V21" s="259"/>
      <c r="X21" s="319"/>
      <c r="Y21" s="320"/>
      <c r="Z21" s="321" t="s">
        <v>54</v>
      </c>
      <c r="AA21" s="322" t="s">
        <v>3</v>
      </c>
      <c r="AB21" s="323" t="s">
        <v>1</v>
      </c>
      <c r="AC21" s="324" t="s">
        <v>53</v>
      </c>
      <c r="AD21" s="324"/>
      <c r="AE21" s="320" t="s">
        <v>52</v>
      </c>
      <c r="AF21" s="320" t="s">
        <v>264</v>
      </c>
      <c r="AG21" s="320" t="s">
        <v>299</v>
      </c>
      <c r="AH21" s="322" t="s">
        <v>0</v>
      </c>
      <c r="AN21" s="232"/>
      <c r="AO21" s="232"/>
      <c r="AQ21" s="264">
        <v>22460</v>
      </c>
    </row>
    <row r="22" spans="2:43" ht="21" customHeight="1" x14ac:dyDescent="0.25">
      <c r="B22" s="469" t="str">
        <f>IF(C21="YES","AAS 6/12/18/24 Applicalbe అయిన నెలను ఎంచుకోండి",IF(C21="NO","AAS అందుకోలేదు. NOT APPLICALBE ను ఎంచుకోండి.",""))</f>
        <v/>
      </c>
      <c r="C22" s="206"/>
      <c r="H22" s="545"/>
      <c r="I22" s="777"/>
      <c r="J22" s="778"/>
      <c r="K22" s="762" t="s">
        <v>651</v>
      </c>
      <c r="L22" s="762"/>
      <c r="M22" s="762"/>
      <c r="N22" s="517"/>
      <c r="O22" s="480">
        <f>N22</f>
        <v>0</v>
      </c>
      <c r="P22" s="218">
        <f>N22-O22</f>
        <v>0</v>
      </c>
      <c r="Q22" s="790"/>
      <c r="R22" s="791"/>
      <c r="S22" s="791"/>
      <c r="T22" s="792"/>
      <c r="V22" s="259"/>
      <c r="X22" s="319"/>
      <c r="Y22" s="320"/>
      <c r="Z22" s="321">
        <v>0</v>
      </c>
      <c r="AA22" s="322">
        <v>0</v>
      </c>
      <c r="AB22" s="320">
        <v>15</v>
      </c>
      <c r="AC22" s="325">
        <v>0</v>
      </c>
      <c r="AD22" s="325"/>
      <c r="AE22" s="326">
        <v>0</v>
      </c>
      <c r="AF22" s="322">
        <v>0</v>
      </c>
      <c r="AG22" s="320">
        <v>0</v>
      </c>
      <c r="AH22" s="322">
        <v>500</v>
      </c>
      <c r="AO22" s="256"/>
      <c r="AQ22" s="234">
        <v>23100</v>
      </c>
    </row>
    <row r="23" spans="2:43" ht="21" customHeight="1" x14ac:dyDescent="0.3">
      <c r="B23" s="469" t="str">
        <f>IF(C22="NOT APPLICABLE","AAS అందుకోలేదు.సున్నా ఎంచుకోండి ",IF(C22="","","AAS 6/12/18/24 ఏ తేదీన  Applicalbe అయినది ?"))</f>
        <v/>
      </c>
      <c r="C23" s="207"/>
      <c r="H23" s="545"/>
      <c r="I23" s="779"/>
      <c r="J23" s="780"/>
      <c r="K23" s="761" t="s">
        <v>664</v>
      </c>
      <c r="L23" s="761"/>
      <c r="M23" s="761"/>
      <c r="N23" s="517"/>
      <c r="O23" s="480">
        <f>N23</f>
        <v>0</v>
      </c>
      <c r="P23" s="218">
        <v>0</v>
      </c>
      <c r="Q23" s="790"/>
      <c r="R23" s="791"/>
      <c r="S23" s="791"/>
      <c r="T23" s="792"/>
      <c r="V23" s="259"/>
      <c r="X23" s="322" t="s">
        <v>227</v>
      </c>
      <c r="Y23" s="320" t="s">
        <v>260</v>
      </c>
      <c r="Z23" s="321">
        <v>90</v>
      </c>
      <c r="AA23" s="322">
        <v>150</v>
      </c>
      <c r="AB23" s="320">
        <v>30</v>
      </c>
      <c r="AC23" s="325">
        <v>75</v>
      </c>
      <c r="AD23" s="325"/>
      <c r="AE23" s="327">
        <v>0.12</v>
      </c>
      <c r="AF23" s="322">
        <v>15</v>
      </c>
      <c r="AG23" s="320">
        <v>400</v>
      </c>
      <c r="AH23" s="322">
        <v>650</v>
      </c>
      <c r="AO23" s="256"/>
      <c r="AQ23" s="264">
        <v>23740</v>
      </c>
    </row>
    <row r="24" spans="2:43" ht="21" customHeight="1" x14ac:dyDescent="0.3">
      <c r="B24" s="470" t="str">
        <f>IF(C19&gt;0,"మీరు అర్ధవేతన సెలవులు (HPL) వినియోగించుకున్నారా","")</f>
        <v/>
      </c>
      <c r="C24" s="219"/>
      <c r="H24" s="545"/>
      <c r="I24" s="479" t="s">
        <v>404</v>
      </c>
      <c r="J24" s="479"/>
      <c r="K24" s="217">
        <f>IF(AND(C24="YES",C22=C25),MAX(AJ2:AJ13),MAX(AF2:AF13))</f>
        <v>0</v>
      </c>
      <c r="L24" s="217">
        <f>IF(AND(C22=J2),ROUND(K24*I2,0),IF(AND(C22=J3),ROUND(K24*I3,0),IF(AND(C22=J4),ROUND(K24*I4,0),IF(AND(C22=J5),ROUND(K24*I5,0),
IF(AND(C22=J6),ROUND(K24*I6,0),IF(AND(C22=J7),ROUND(K24*I7,0),IF(AND(C22=J8),ROUND(K24*I8,0),IF(AND(C22=J9),ROUND(K24*I9,0),
IF(AND(C22=J10),ROUND(K24*I10,0),IF(AND(C22=J11),ROUND(K24*I11,0),IF(AND(C22=J12),ROUND(K24*I12,0),IF(AND(C22=J13),ROUND(K24*I13,0),0))))))))))))</f>
        <v>0</v>
      </c>
      <c r="M24" s="217">
        <f>IF(AND(C22=J2),ROUND(MAX(AF3:AF13)*W2,0),IF(AND(C22=J3),ROUND(MAX(AF3:AF13)*W3,0),IF(AND(C22=J4),ROUND(MAX(AF3:AF13)*W4,0),
IF(AND(C22=J5),ROUND(MAX(AF3:AF13)*W5,0),IF(AND(C22=J6),ROUND(MAX(AF3:AF13)*W6,0),IF(AND(C22=J7),ROUND(MAX(AF3:AF13)*W7,0),
IF(AND(C22=J8),ROUND(MAX(AF3:AF13)*W8,0),IF(AND(C22=J9),ROUND(MAX(AF3:AF13)*W9,0),
IF(AND(C22=J10),ROUND(MAX(AF3:AF13)*W10,0),IF(AND(C22=J11),ROUND(MAX(AF3:AF13)*W11,0),
IF(AND(C22=J12),ROUND(MAX(AF3:AF13)*W12,0),IF(AND(C22=J13),ROUND(MAX(AF3:AF13)*W13,0),0))))))))))))</f>
        <v>0</v>
      </c>
      <c r="N24" s="217">
        <f>K24+L24+M24</f>
        <v>0</v>
      </c>
      <c r="O24" s="480">
        <f>N24-P24</f>
        <v>0</v>
      </c>
      <c r="P24" s="218">
        <f>IF(C14="CPS",ROUND((K24+L24)*10%,0),0)</f>
        <v>0</v>
      </c>
      <c r="Q24" s="781" t="str">
        <f>IF(K24=0,"",CONCATENATE("AAS ARREARS CALCULATED
FOR  ",AE20,"  DAYS "))</f>
        <v/>
      </c>
      <c r="R24" s="782"/>
      <c r="S24" s="782"/>
      <c r="T24" s="783"/>
      <c r="V24" s="259"/>
      <c r="X24" s="322" t="s">
        <v>228</v>
      </c>
      <c r="Y24" s="320" t="s">
        <v>261</v>
      </c>
      <c r="Z24" s="321">
        <v>120</v>
      </c>
      <c r="AA24" s="322">
        <v>200</v>
      </c>
      <c r="AB24" s="320">
        <v>60</v>
      </c>
      <c r="AC24" s="325">
        <v>110</v>
      </c>
      <c r="AD24" s="325"/>
      <c r="AE24" s="327">
        <v>0.14499999999999999</v>
      </c>
      <c r="AF24" s="322">
        <v>30</v>
      </c>
      <c r="AG24" s="320">
        <v>500</v>
      </c>
      <c r="AH24" s="322">
        <v>850</v>
      </c>
      <c r="AO24" s="256"/>
      <c r="AQ24" s="261">
        <v>24440</v>
      </c>
    </row>
    <row r="25" spans="2:43" ht="21" customHeight="1" x14ac:dyDescent="0.25">
      <c r="B25" s="470" t="str">
        <f>IF(C24="YES","అర్ధవేతన సెలవులు వినియోగించుకున్ననెలను ఎంచుకోండి",IF(C24="NO","HPL వినియోగించుకోలేదు.NOT AVAILED ఎంచుకోండి.",""))</f>
        <v/>
      </c>
      <c r="C25" s="206"/>
      <c r="H25" s="574"/>
      <c r="I25" s="481" t="s">
        <v>385</v>
      </c>
      <c r="J25" s="481"/>
      <c r="K25" s="177"/>
      <c r="L25" s="177"/>
      <c r="M25" s="177"/>
      <c r="N25" s="217">
        <f>K25+L25+M25</f>
        <v>0</v>
      </c>
      <c r="O25" s="480">
        <f>N25-P25</f>
        <v>0</v>
      </c>
      <c r="P25" s="220"/>
      <c r="Q25" s="784"/>
      <c r="R25" s="785"/>
      <c r="S25" s="785"/>
      <c r="T25" s="786"/>
      <c r="V25" s="266"/>
      <c r="X25" s="320"/>
      <c r="Y25" s="320"/>
      <c r="Z25" s="320"/>
      <c r="AA25" s="319"/>
      <c r="AB25" s="320">
        <v>120</v>
      </c>
      <c r="AC25" s="325">
        <v>150</v>
      </c>
      <c r="AD25" s="325"/>
      <c r="AE25" s="327">
        <v>0.2</v>
      </c>
      <c r="AF25" s="319"/>
      <c r="AG25" s="320">
        <v>600</v>
      </c>
      <c r="AH25" s="322">
        <v>1150</v>
      </c>
      <c r="AI25" s="239"/>
      <c r="AJ25" s="239"/>
      <c r="AO25" s="256"/>
      <c r="AQ25" s="261">
        <v>25140</v>
      </c>
    </row>
    <row r="26" spans="2:43" ht="21" customHeight="1" x14ac:dyDescent="0.3">
      <c r="B26" s="470" t="str">
        <f>IF(C25="","",IF(C25="NOT AVAILED","HPL వినియోగించుకోలేదు.సున్నా(ZERO) ను ఎంచుకోండి.","అర్ధవేతన సెలవులు ఎన్నిరోజులు వినియోగించుకున్నారు"))</f>
        <v/>
      </c>
      <c r="C26" s="207"/>
      <c r="I26" s="763" t="str">
        <f>IF(K24=0,"మీరు AAS అందుకోలేదు అంటున్నారు . కాబట్టి , AAS_MANUAL పక్కన అన్నిBOX లలో ఖాళీగా/సున్నాలు ఉంచండి.","AAS ARREARS వివరాలు CORRECT  గా నమోదు అయ్యి ఉంటే AAS_MANUAL పక్కన ఖాళీగా/సున్నాలు  ఉంచండి.")</f>
        <v>మీరు AAS అందుకోలేదు అంటున్నారు . కాబట్టి , AAS_MANUAL పక్కన అన్నిBOX లలో ఖాళీగా/సున్నాలు ఉంచండి.</v>
      </c>
      <c r="J26" s="763"/>
      <c r="K26" s="763"/>
      <c r="L26" s="763"/>
      <c r="M26" s="763"/>
      <c r="N26" s="763"/>
      <c r="O26" s="763"/>
      <c r="P26" s="763"/>
      <c r="Q26" s="764"/>
      <c r="R26" s="764"/>
      <c r="S26" s="764"/>
      <c r="T26" s="764"/>
      <c r="V26" s="266"/>
      <c r="X26" s="328"/>
      <c r="Y26" s="331" t="s">
        <v>379</v>
      </c>
      <c r="Z26" s="320" t="s">
        <v>314</v>
      </c>
      <c r="AA26" s="319"/>
      <c r="AB26" s="320"/>
      <c r="AC26" s="319"/>
      <c r="AD26" s="319"/>
      <c r="AE26" s="327">
        <v>0.3</v>
      </c>
      <c r="AF26" s="319"/>
      <c r="AG26" s="319"/>
      <c r="AH26" s="322">
        <v>1400</v>
      </c>
      <c r="AI26" s="239"/>
      <c r="AJ26" s="239"/>
      <c r="AO26" s="256"/>
      <c r="AQ26" s="261">
        <v>25840</v>
      </c>
    </row>
    <row r="27" spans="2:43" ht="21" customHeight="1" x14ac:dyDescent="0.2">
      <c r="B27" s="710" t="str">
        <f>IF(AND(C24="YES",C26&gt;0),CONCATENATE("HPL వినియోగించుకున్న నెలలో మీ వేతనం ",AI20," రోజులకు లెక్కించబడుతుంది"),"")</f>
        <v/>
      </c>
      <c r="C27" s="710"/>
      <c r="I27" s="765" t="str">
        <f>IF(C32="NO CHANGE","",IF(C34=0,"",IF(C34=1,"",IF(F31="YES",CONCATENATE("Sri./Smt.  ",B2," గారు  ,  ",C32,"  నెలలో మీ HRA
తేదీ 1 - ",E31," వరకు ",C31*100,"% తోనూ  ; ",
" తేదీ ",C34," - ",F33," వరకు ",C33*100,"% తోనూ లెక్కించబడింది. మిగిలిన నెలలకు యధాతథం.","")))))</f>
        <v/>
      </c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V27" s="266"/>
      <c r="X27" s="329"/>
      <c r="Y27" s="332">
        <v>0</v>
      </c>
      <c r="Z27" s="320">
        <v>0</v>
      </c>
      <c r="AA27" s="330"/>
      <c r="AB27" s="320"/>
      <c r="AC27" s="320"/>
      <c r="AD27" s="320"/>
      <c r="AE27" s="320"/>
      <c r="AF27" s="330"/>
      <c r="AG27" s="319"/>
      <c r="AH27" s="322">
        <v>2000</v>
      </c>
      <c r="AI27" s="239"/>
      <c r="AJ27" s="239"/>
      <c r="AO27" s="256"/>
      <c r="AQ27" s="261">
        <v>26600</v>
      </c>
    </row>
    <row r="28" spans="2:43" ht="21" customHeight="1" x14ac:dyDescent="0.2">
      <c r="B28" s="711"/>
      <c r="C28" s="711"/>
      <c r="I28" s="765"/>
      <c r="J28" s="765"/>
      <c r="K28" s="765"/>
      <c r="L28" s="765"/>
      <c r="M28" s="765"/>
      <c r="N28" s="765"/>
      <c r="O28" s="765"/>
      <c r="P28" s="765"/>
      <c r="Q28" s="765"/>
      <c r="R28" s="765"/>
      <c r="S28" s="765"/>
      <c r="T28" s="765"/>
      <c r="V28" s="266"/>
      <c r="Y28" s="332">
        <v>1</v>
      </c>
      <c r="Z28" s="320">
        <v>3000</v>
      </c>
      <c r="AB28" s="239"/>
      <c r="AC28" s="239"/>
      <c r="AD28" s="239"/>
      <c r="AE28" s="239"/>
      <c r="AH28" s="239"/>
      <c r="AI28" s="239"/>
      <c r="AJ28" s="239"/>
      <c r="AL28" s="232"/>
      <c r="AO28" s="256"/>
      <c r="AQ28" s="261">
        <v>27360</v>
      </c>
    </row>
    <row r="29" spans="2:43" ht="21" customHeight="1" x14ac:dyDescent="0.3">
      <c r="B29" s="483" t="str">
        <f>IF(C20="","","INCREMENT (AGI) + AAS తర్వాత మీ BASIC PAY")</f>
        <v/>
      </c>
      <c r="C29" s="484">
        <f>MAX(AH2:AH13)</f>
        <v>0</v>
      </c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5"/>
      <c r="U29" s="185"/>
      <c r="V29" s="266"/>
      <c r="Y29" s="332">
        <v>2</v>
      </c>
      <c r="Z29" s="320">
        <v>3500</v>
      </c>
      <c r="AB29" s="239"/>
      <c r="AC29" s="239"/>
      <c r="AD29" s="239"/>
      <c r="AE29" s="239"/>
      <c r="AF29" s="239"/>
      <c r="AG29" s="239"/>
      <c r="AH29" s="239"/>
      <c r="AI29" s="239"/>
      <c r="AJ29" s="239"/>
      <c r="AO29" s="256"/>
      <c r="AQ29" s="261">
        <v>28120</v>
      </c>
    </row>
    <row r="30" spans="2:43" ht="21" customHeight="1" thickBot="1" x14ac:dyDescent="0.35">
      <c r="B30" s="482" t="str">
        <f>IF(AND(C21="YES",C22=J13,C23&gt;0),"March_2018 నుంచి మీరందుకునే మూలవేతనం = ","")</f>
        <v/>
      </c>
      <c r="C30" s="484" t="str">
        <f>IF(B30="","",AH14)</f>
        <v/>
      </c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178"/>
      <c r="V30" s="267"/>
      <c r="W30" s="267"/>
      <c r="Y30" s="332">
        <v>3</v>
      </c>
      <c r="Z30" s="320">
        <v>4000</v>
      </c>
      <c r="AB30" s="239"/>
      <c r="AC30" s="239"/>
      <c r="AD30" s="239"/>
      <c r="AE30" s="239"/>
      <c r="AF30" s="239"/>
      <c r="AG30" s="239"/>
      <c r="AH30" s="239"/>
      <c r="AI30" s="239"/>
      <c r="AJ30" s="239"/>
      <c r="AO30" s="256"/>
      <c r="AQ30" s="261">
        <v>28940</v>
      </c>
    </row>
    <row r="31" spans="2:43" ht="21" customHeight="1" thickTop="1" x14ac:dyDescent="0.25">
      <c r="B31" s="471" t="s">
        <v>412</v>
      </c>
      <c r="C31" s="208"/>
      <c r="E31" s="558">
        <f>IF(OR(C34="",C34=0),0,C34-1)</f>
        <v>0</v>
      </c>
      <c r="F31" s="592" t="str">
        <f>IF(C32="","NO",IF(C32="NO CHANGE","NO","YES"))</f>
        <v>NO</v>
      </c>
      <c r="G31" s="587" t="s">
        <v>669</v>
      </c>
      <c r="H31" s="576"/>
      <c r="I31" s="766" t="s">
        <v>673</v>
      </c>
      <c r="J31" s="767"/>
      <c r="K31" s="767"/>
      <c r="L31" s="767"/>
      <c r="M31" s="767"/>
      <c r="N31" s="767"/>
      <c r="O31" s="767"/>
      <c r="P31" s="767"/>
      <c r="Q31" s="767"/>
      <c r="R31" s="767"/>
      <c r="S31" s="767"/>
      <c r="T31" s="768"/>
      <c r="U31" s="186"/>
      <c r="V31" s="191"/>
      <c r="W31" s="191"/>
      <c r="X31" s="433" t="s">
        <v>635</v>
      </c>
      <c r="Y31" s="332">
        <v>4</v>
      </c>
      <c r="Z31" s="320">
        <v>4500</v>
      </c>
      <c r="AA31" s="262" t="s">
        <v>383</v>
      </c>
      <c r="AF31" s="268" t="s">
        <v>59</v>
      </c>
      <c r="AG31" s="269"/>
      <c r="AK31" s="318" t="s">
        <v>300</v>
      </c>
      <c r="AO31" s="256"/>
      <c r="AQ31" s="261">
        <v>29760</v>
      </c>
    </row>
    <row r="32" spans="2:43" ht="21" customHeight="1" x14ac:dyDescent="0.2">
      <c r="B32" s="471" t="str">
        <f>IF(C31="","","Mar_2017 తర్వాత HRA మారినదా? మారింటే ఏ నెలలో?")</f>
        <v/>
      </c>
      <c r="C32" s="205"/>
      <c r="E32" s="559"/>
      <c r="F32" s="592">
        <f>IF(AND(C32=J12),13,IF(AND(C32=J13),14,IF(AND(C32=J2),3,IF(AND(C32=J3),4,
IF(AND(C32=J4),5,IF(AND(C32=J5),6,IF(AND(C32=J6),7,IF(AND(C32=J7),8,
IF(AND(C32=J8),9,IF(AND(C32=J9),10,IF(AND(C32=J10),11,IF(AND(C32=J11),12,0))))))))))))</f>
        <v>0</v>
      </c>
      <c r="G32" s="588" t="s">
        <v>671</v>
      </c>
      <c r="H32" s="577"/>
      <c r="I32" s="769"/>
      <c r="J32" s="770"/>
      <c r="K32" s="770"/>
      <c r="L32" s="770"/>
      <c r="M32" s="770"/>
      <c r="N32" s="770"/>
      <c r="O32" s="770"/>
      <c r="P32" s="770"/>
      <c r="Q32" s="770"/>
      <c r="R32" s="770"/>
      <c r="S32" s="770"/>
      <c r="T32" s="771"/>
      <c r="U32" s="186"/>
      <c r="V32" s="191"/>
      <c r="W32" s="191"/>
      <c r="X32" s="308" t="s">
        <v>4</v>
      </c>
      <c r="Y32" s="332">
        <v>5</v>
      </c>
      <c r="Z32" s="320">
        <v>5000</v>
      </c>
      <c r="AA32" s="307" t="s">
        <v>319</v>
      </c>
      <c r="AB32" s="308" t="s">
        <v>319</v>
      </c>
      <c r="AC32" s="308" t="s">
        <v>4</v>
      </c>
      <c r="AD32" s="454" t="s">
        <v>407</v>
      </c>
      <c r="AE32" s="454" t="s">
        <v>265</v>
      </c>
      <c r="AF32" s="270" t="s">
        <v>621</v>
      </c>
      <c r="AG32" s="255"/>
      <c r="AH32" s="268" t="s">
        <v>55</v>
      </c>
      <c r="AK32" s="318">
        <v>0</v>
      </c>
      <c r="AL32" s="445">
        <v>42795</v>
      </c>
      <c r="AM32" s="446" t="str">
        <f>TEXT(AL32,"mmm-yyyy")</f>
        <v>Mar-2017</v>
      </c>
      <c r="AN32" s="615" t="str">
        <f>TEXT(AL32,"MMMM-YYYY")</f>
        <v>March-2017</v>
      </c>
      <c r="AO32" s="616"/>
      <c r="AQ32" s="261">
        <v>30580</v>
      </c>
    </row>
    <row r="33" spans="2:43" ht="21" customHeight="1" thickBot="1" x14ac:dyDescent="0.3">
      <c r="B33" s="471" t="str">
        <f>IF(C32="","",IF(C32="NO CHANGE",CONCATENATE("HRA మారలేదు. కాబట్టి ,",C31*100," % ను మరోసారి ఎంచుకోండి"),CONCATENATE("మారిన తర్వాత HRA ను ఎంచుకోండి")))</f>
        <v/>
      </c>
      <c r="C33" s="208"/>
      <c r="E33" s="558">
        <f>IF(C32="NO CHANGE",0,IF(C34="",30,F33-E31))</f>
        <v>30</v>
      </c>
      <c r="F33" s="593">
        <f>IF(C32="NO CHANGE","",DAY(EOMONTH(C32,0)))</f>
        <v>31</v>
      </c>
      <c r="G33" s="588" t="s">
        <v>670</v>
      </c>
      <c r="H33" s="577"/>
      <c r="I33" s="772"/>
      <c r="J33" s="773"/>
      <c r="K33" s="773"/>
      <c r="L33" s="773"/>
      <c r="M33" s="773"/>
      <c r="N33" s="773"/>
      <c r="O33" s="773"/>
      <c r="P33" s="773"/>
      <c r="Q33" s="773"/>
      <c r="R33" s="773"/>
      <c r="S33" s="773"/>
      <c r="T33" s="774"/>
      <c r="U33" s="186"/>
      <c r="V33" s="191"/>
      <c r="W33" s="191"/>
      <c r="X33" s="309" t="str">
        <f>AM33</f>
        <v>Apr-2017</v>
      </c>
      <c r="Y33" s="332">
        <v>6</v>
      </c>
      <c r="Z33" s="320">
        <v>5100</v>
      </c>
      <c r="AA33" s="457" t="str">
        <f>AM33</f>
        <v>Apr-2017</v>
      </c>
      <c r="AB33" s="458" t="str">
        <f>AM32</f>
        <v>Mar-2017</v>
      </c>
      <c r="AC33" s="458" t="str">
        <f>AM33</f>
        <v>Apr-2017</v>
      </c>
      <c r="AD33" s="460" t="str">
        <f>AM32</f>
        <v>Mar-2017</v>
      </c>
      <c r="AE33" s="460" t="str">
        <f>AM32</f>
        <v>Mar-2017</v>
      </c>
      <c r="AF33" s="274" t="s">
        <v>622</v>
      </c>
      <c r="AG33" s="275"/>
      <c r="AH33" s="268" t="s">
        <v>56</v>
      </c>
      <c r="AK33" s="318">
        <v>200</v>
      </c>
      <c r="AL33" s="445">
        <v>42826</v>
      </c>
      <c r="AM33" s="446" t="str">
        <f t="shared" ref="AM33:AM45" si="15">TEXT(AL33,"mmm-yyyy")</f>
        <v>Apr-2017</v>
      </c>
      <c r="AN33" s="615" t="str">
        <f t="shared" ref="AN33:AN45" si="16">TEXT(AL33,"MMMM-YYYY")</f>
        <v>April-2017</v>
      </c>
      <c r="AO33" s="616"/>
      <c r="AQ33" s="261">
        <v>31460</v>
      </c>
    </row>
    <row r="34" spans="2:43" ht="21" customHeight="1" thickTop="1" thickBot="1" x14ac:dyDescent="0.35">
      <c r="B34" s="471" t="str">
        <f>IF(C32="NO CHANGE","HRA మారలేదు. కాబట్టి , పక్కన ఖాళీగా / సున్నాగా ఉంచండి ",IF(C33="","",IF(C33&gt;=0,CONCATENATE(C32," నెలలో ఏ తేదీనుంచి HRA మారిందో ఎంచుకోండి "))))</f>
        <v/>
      </c>
      <c r="C34" s="207"/>
      <c r="F34" s="560"/>
      <c r="X34" s="309" t="str">
        <f t="shared" ref="X34:X43" si="17">AM34</f>
        <v>May-2017</v>
      </c>
      <c r="Y34" s="332">
        <v>7</v>
      </c>
      <c r="Z34" s="320">
        <v>5200</v>
      </c>
      <c r="AA34" s="457" t="str">
        <f t="shared" ref="AA34:AA43" si="18">AM34</f>
        <v>May-2017</v>
      </c>
      <c r="AB34" s="458" t="str">
        <f t="shared" ref="AB34:AB44" si="19">AM33</f>
        <v>Apr-2017</v>
      </c>
      <c r="AC34" s="458" t="str">
        <f t="shared" ref="AC34:AC43" si="20">AM34</f>
        <v>May-2017</v>
      </c>
      <c r="AD34" s="460" t="str">
        <f t="shared" ref="AD34:AD44" si="21">AM33</f>
        <v>Apr-2017</v>
      </c>
      <c r="AE34" s="460" t="str">
        <f t="shared" ref="AE34:AE44" si="22">AM33</f>
        <v>Apr-2017</v>
      </c>
      <c r="AF34" s="274" t="s">
        <v>623</v>
      </c>
      <c r="AG34" s="275"/>
      <c r="AH34" s="268" t="s">
        <v>57</v>
      </c>
      <c r="AK34" s="318">
        <v>250</v>
      </c>
      <c r="AL34" s="445">
        <v>42856</v>
      </c>
      <c r="AM34" s="446" t="str">
        <f t="shared" si="15"/>
        <v>May-2017</v>
      </c>
      <c r="AN34" s="615" t="str">
        <f t="shared" si="16"/>
        <v>May-2017</v>
      </c>
      <c r="AO34" s="616"/>
      <c r="AQ34" s="261">
        <v>32340</v>
      </c>
    </row>
    <row r="35" spans="2:43" ht="21" customHeight="1" thickTop="1" x14ac:dyDescent="0.2">
      <c r="B35" s="468" t="s">
        <v>320</v>
      </c>
      <c r="C35" s="209"/>
      <c r="I35" s="617" t="s">
        <v>647</v>
      </c>
      <c r="J35" s="618"/>
      <c r="K35" s="618"/>
      <c r="L35" s="618"/>
      <c r="M35" s="618"/>
      <c r="N35" s="618"/>
      <c r="O35" s="618"/>
      <c r="P35" s="618"/>
      <c r="Q35" s="618"/>
      <c r="R35" s="618"/>
      <c r="S35" s="618"/>
      <c r="T35" s="619"/>
      <c r="U35" s="139"/>
      <c r="V35" s="276"/>
      <c r="W35" s="276"/>
      <c r="X35" s="309" t="str">
        <f t="shared" si="17"/>
        <v>Jun-2017</v>
      </c>
      <c r="Y35" s="332">
        <v>8</v>
      </c>
      <c r="Z35" s="320">
        <v>5300</v>
      </c>
      <c r="AA35" s="457" t="str">
        <f t="shared" si="18"/>
        <v>Jun-2017</v>
      </c>
      <c r="AB35" s="458" t="str">
        <f t="shared" si="19"/>
        <v>May-2017</v>
      </c>
      <c r="AC35" s="458" t="str">
        <f t="shared" si="20"/>
        <v>Jun-2017</v>
      </c>
      <c r="AD35" s="460" t="str">
        <f t="shared" si="21"/>
        <v>May-2017</v>
      </c>
      <c r="AE35" s="460" t="str">
        <f t="shared" si="22"/>
        <v>May-2017</v>
      </c>
      <c r="AF35" s="274" t="s">
        <v>624</v>
      </c>
      <c r="AG35" s="275"/>
      <c r="AH35" s="268" t="s">
        <v>51</v>
      </c>
      <c r="AK35" s="318">
        <v>300</v>
      </c>
      <c r="AL35" s="445">
        <v>42887</v>
      </c>
      <c r="AM35" s="446" t="str">
        <f t="shared" si="15"/>
        <v>Jun-2017</v>
      </c>
      <c r="AN35" s="615" t="str">
        <f t="shared" si="16"/>
        <v>June-2017</v>
      </c>
      <c r="AO35" s="616"/>
      <c r="AQ35" s="261">
        <v>33220</v>
      </c>
    </row>
    <row r="36" spans="2:43" ht="21" customHeight="1" x14ac:dyDescent="0.2">
      <c r="B36" s="468" t="str">
        <f>IF(C35="YES","Additional HRA ఏ నెల నుండి అందుకున్నారు ?",IF(C35="NO"," NOT APPLICABLE ను ఎంచుకోండి",""))</f>
        <v/>
      </c>
      <c r="C36" s="210"/>
      <c r="E36" s="594">
        <f>IF(AND(C36=J12),13,IF(AND(C36=J13),14,IF(AND(C36=J2),3,IF(AND(C36=J3),4,
IF(AND(C36=J4),5,IF(AND(C36=J5),6,IF(AND(C36=J6),7,IF(AND(C36=J7),8,
IF(AND(C36=J8),9,IF(AND(C36=J9),10,IF(AND(C36=J10),11,IF(AND(C36=J11),12,0))))))))))))</f>
        <v>0</v>
      </c>
      <c r="F36" s="541"/>
      <c r="G36" s="542"/>
      <c r="H36" s="578"/>
      <c r="I36" s="620"/>
      <c r="J36" s="621"/>
      <c r="K36" s="621"/>
      <c r="L36" s="621"/>
      <c r="M36" s="621"/>
      <c r="N36" s="621"/>
      <c r="O36" s="621"/>
      <c r="P36" s="621"/>
      <c r="Q36" s="621"/>
      <c r="R36" s="621"/>
      <c r="S36" s="621"/>
      <c r="T36" s="622"/>
      <c r="U36" s="139"/>
      <c r="V36" s="276"/>
      <c r="W36" s="276"/>
      <c r="X36" s="309" t="str">
        <f t="shared" si="17"/>
        <v>Jul-2017</v>
      </c>
      <c r="Y36" s="332">
        <v>9</v>
      </c>
      <c r="Z36" s="320">
        <v>5400</v>
      </c>
      <c r="AA36" s="457" t="str">
        <f t="shared" si="18"/>
        <v>Jul-2017</v>
      </c>
      <c r="AB36" s="458" t="str">
        <f t="shared" si="19"/>
        <v>Jun-2017</v>
      </c>
      <c r="AC36" s="458" t="str">
        <f t="shared" si="20"/>
        <v>Jul-2017</v>
      </c>
      <c r="AD36" s="460" t="str">
        <f t="shared" si="21"/>
        <v>Jun-2017</v>
      </c>
      <c r="AE36" s="460" t="str">
        <f t="shared" si="22"/>
        <v>Jun-2017</v>
      </c>
      <c r="AF36" s="274" t="s">
        <v>625</v>
      </c>
      <c r="AG36" s="275"/>
      <c r="AH36" s="268"/>
      <c r="AK36" s="318">
        <v>350</v>
      </c>
      <c r="AL36" s="445">
        <v>42917</v>
      </c>
      <c r="AM36" s="446" t="str">
        <f t="shared" si="15"/>
        <v>Jul-2017</v>
      </c>
      <c r="AN36" s="615" t="str">
        <f t="shared" si="16"/>
        <v>July-2017</v>
      </c>
      <c r="AO36" s="616"/>
      <c r="AQ36" s="261">
        <v>34170</v>
      </c>
    </row>
    <row r="37" spans="2:43" ht="21" customHeight="1" thickBot="1" x14ac:dyDescent="0.25">
      <c r="B37" s="468" t="str">
        <f>IF(C35="YES","Additional HRA ఏ నెల వరకు అందుకున్నారు ?",IF(C35="NO"," NOT APPLICABLE ను ఎంచుకోండి",""))</f>
        <v/>
      </c>
      <c r="C37" s="210"/>
      <c r="E37" s="594">
        <f>IF(AND(C37=J12),13,IF(AND(C37=J13),14,IF(AND(C37=J2),3,IF(AND(C37=J3),4,
IF(AND(C37=J4),5,IF(AND(C37=J5),6,IF(AND(C37=J6),7,IF(AND(C37=J7),8,
IF(AND(C37=J8),9,IF(AND(C37=J9),10,IF(AND(C37=J10),11,IF(AND(C37=J11),12,0))))))))))))</f>
        <v>0</v>
      </c>
      <c r="F37" s="541"/>
      <c r="G37" s="542"/>
      <c r="H37" s="578"/>
      <c r="I37" s="623"/>
      <c r="J37" s="624"/>
      <c r="K37" s="624"/>
      <c r="L37" s="624"/>
      <c r="M37" s="624"/>
      <c r="N37" s="624"/>
      <c r="O37" s="624"/>
      <c r="P37" s="624"/>
      <c r="Q37" s="624"/>
      <c r="R37" s="624"/>
      <c r="S37" s="624"/>
      <c r="T37" s="625"/>
      <c r="U37" s="139"/>
      <c r="V37" s="276"/>
      <c r="W37" s="276"/>
      <c r="X37" s="309" t="str">
        <f t="shared" si="17"/>
        <v>Aug-2017</v>
      </c>
      <c r="Y37" s="332">
        <v>10</v>
      </c>
      <c r="Z37" s="320">
        <v>5500</v>
      </c>
      <c r="AA37" s="457" t="str">
        <f t="shared" si="18"/>
        <v>Aug-2017</v>
      </c>
      <c r="AB37" s="458" t="str">
        <f t="shared" si="19"/>
        <v>Jul-2017</v>
      </c>
      <c r="AC37" s="458" t="str">
        <f t="shared" si="20"/>
        <v>Aug-2017</v>
      </c>
      <c r="AD37" s="460" t="str">
        <f t="shared" si="21"/>
        <v>Jul-2017</v>
      </c>
      <c r="AE37" s="460" t="str">
        <f t="shared" si="22"/>
        <v>Jul-2017</v>
      </c>
      <c r="AF37" s="274" t="s">
        <v>626</v>
      </c>
      <c r="AG37" s="275"/>
      <c r="AH37" s="317"/>
      <c r="AK37" s="318">
        <v>400</v>
      </c>
      <c r="AL37" s="445">
        <v>42948</v>
      </c>
      <c r="AM37" s="446" t="str">
        <f t="shared" si="15"/>
        <v>Aug-2017</v>
      </c>
      <c r="AN37" s="615" t="str">
        <f t="shared" si="16"/>
        <v>August-2017</v>
      </c>
      <c r="AO37" s="616"/>
      <c r="AQ37" s="261">
        <v>35120</v>
      </c>
    </row>
    <row r="38" spans="2:43" ht="21" customHeight="1" thickTop="1" thickBot="1" x14ac:dyDescent="0.35">
      <c r="B38" s="472" t="s">
        <v>676</v>
      </c>
      <c r="C38" s="211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139"/>
      <c r="V38" s="276"/>
      <c r="W38" s="276"/>
      <c r="X38" s="309" t="str">
        <f t="shared" si="17"/>
        <v>Sep-2017</v>
      </c>
      <c r="Y38" s="332">
        <v>11</v>
      </c>
      <c r="Z38" s="320">
        <v>5600</v>
      </c>
      <c r="AA38" s="457" t="str">
        <f t="shared" si="18"/>
        <v>Sep-2017</v>
      </c>
      <c r="AB38" s="458" t="str">
        <f t="shared" si="19"/>
        <v>Aug-2017</v>
      </c>
      <c r="AC38" s="458" t="str">
        <f t="shared" si="20"/>
        <v>Sep-2017</v>
      </c>
      <c r="AD38" s="460" t="str">
        <f t="shared" si="21"/>
        <v>Aug-2017</v>
      </c>
      <c r="AE38" s="460" t="str">
        <f t="shared" si="22"/>
        <v>Aug-2017</v>
      </c>
      <c r="AF38" s="274" t="s">
        <v>627</v>
      </c>
      <c r="AG38" s="275"/>
      <c r="AK38" s="318">
        <v>450</v>
      </c>
      <c r="AL38" s="445">
        <v>42979</v>
      </c>
      <c r="AM38" s="446" t="str">
        <f t="shared" si="15"/>
        <v>Sep-2017</v>
      </c>
      <c r="AN38" s="615" t="str">
        <f t="shared" si="16"/>
        <v>September-2017</v>
      </c>
      <c r="AO38" s="616"/>
      <c r="AQ38" s="261">
        <v>36070</v>
      </c>
    </row>
    <row r="39" spans="2:43" ht="21" customHeight="1" thickTop="1" x14ac:dyDescent="0.2">
      <c r="B39" s="472" t="str">
        <f>IF(C38&gt;0,"SPL PAY/HMA/FPI మారినదా? మారింటే ఏ నెలలో?",IF(C38="","","SPL PAY/HMA/FPI మారినదా? మారింటే ఏ నెలలో?"))</f>
        <v/>
      </c>
      <c r="C39" s="205"/>
      <c r="I39" s="757" t="s">
        <v>225</v>
      </c>
      <c r="J39" s="758"/>
      <c r="K39" s="758"/>
      <c r="L39" s="758"/>
      <c r="M39" s="758"/>
      <c r="N39" s="758"/>
      <c r="O39" s="758"/>
      <c r="P39" s="758"/>
      <c r="Q39" s="758"/>
      <c r="R39" s="758"/>
      <c r="S39" s="758"/>
      <c r="T39" s="759"/>
      <c r="U39" s="139"/>
      <c r="V39" s="276"/>
      <c r="W39" s="276"/>
      <c r="X39" s="309" t="str">
        <f t="shared" si="17"/>
        <v>Oct-2017</v>
      </c>
      <c r="Y39" s="332">
        <v>12</v>
      </c>
      <c r="Z39" s="320">
        <v>5700</v>
      </c>
      <c r="AA39" s="457" t="str">
        <f t="shared" si="18"/>
        <v>Oct-2017</v>
      </c>
      <c r="AB39" s="458" t="str">
        <f t="shared" si="19"/>
        <v>Sep-2017</v>
      </c>
      <c r="AC39" s="458" t="str">
        <f t="shared" si="20"/>
        <v>Oct-2017</v>
      </c>
      <c r="AD39" s="460" t="str">
        <f t="shared" si="21"/>
        <v>Sep-2017</v>
      </c>
      <c r="AE39" s="460" t="str">
        <f t="shared" si="22"/>
        <v>Sep-2017</v>
      </c>
      <c r="AF39" s="274" t="s">
        <v>628</v>
      </c>
      <c r="AG39" s="275"/>
      <c r="AK39" s="318">
        <v>500</v>
      </c>
      <c r="AL39" s="445">
        <v>43009</v>
      </c>
      <c r="AM39" s="446" t="str">
        <f t="shared" si="15"/>
        <v>Oct-2017</v>
      </c>
      <c r="AN39" s="615" t="str">
        <f t="shared" si="16"/>
        <v>October-2017</v>
      </c>
      <c r="AO39" s="616"/>
      <c r="AQ39" s="261">
        <v>37100</v>
      </c>
    </row>
    <row r="40" spans="2:43" ht="21" customHeight="1" x14ac:dyDescent="0.3">
      <c r="B40" s="472" t="str">
        <f>IF(C39="NO CHANGE",CONCATENATE("మరోసారి","  ",C38,"  ","ను ఎంచుకోండి    ----&gt;"),IF(C39="","","మారిన తర్వాత SPL PAY/HMA    ----&gt;"))</f>
        <v/>
      </c>
      <c r="C40" s="211"/>
      <c r="I40" s="751" t="s">
        <v>638</v>
      </c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3"/>
      <c r="U40" s="139"/>
      <c r="V40" s="276"/>
      <c r="W40" s="276"/>
      <c r="X40" s="309" t="str">
        <f t="shared" si="17"/>
        <v>Nov-2017</v>
      </c>
      <c r="Y40" s="332">
        <v>13</v>
      </c>
      <c r="Z40" s="320">
        <v>5800</v>
      </c>
      <c r="AA40" s="457" t="str">
        <f t="shared" si="18"/>
        <v>Nov-2017</v>
      </c>
      <c r="AB40" s="458" t="str">
        <f t="shared" si="19"/>
        <v>Oct-2017</v>
      </c>
      <c r="AC40" s="458" t="str">
        <f t="shared" si="20"/>
        <v>Nov-2017</v>
      </c>
      <c r="AD40" s="460" t="str">
        <f t="shared" si="21"/>
        <v>Oct-2017</v>
      </c>
      <c r="AE40" s="460" t="str">
        <f t="shared" si="22"/>
        <v>Oct-2017</v>
      </c>
      <c r="AF40" s="274" t="s">
        <v>629</v>
      </c>
      <c r="AG40" s="275"/>
      <c r="AK40" s="318">
        <v>600</v>
      </c>
      <c r="AL40" s="445">
        <v>43040</v>
      </c>
      <c r="AM40" s="446" t="str">
        <f t="shared" si="15"/>
        <v>Nov-2017</v>
      </c>
      <c r="AN40" s="615" t="str">
        <f t="shared" si="16"/>
        <v>November-2017</v>
      </c>
      <c r="AO40" s="616"/>
      <c r="AQ40" s="261">
        <v>38130</v>
      </c>
    </row>
    <row r="41" spans="2:43" ht="21" customHeight="1" x14ac:dyDescent="0.3">
      <c r="B41" s="614" t="s">
        <v>675</v>
      </c>
      <c r="C41" s="211"/>
      <c r="E41" s="550"/>
      <c r="F41" s="561"/>
      <c r="G41" s="550"/>
      <c r="H41" s="579"/>
      <c r="I41" s="751"/>
      <c r="J41" s="752"/>
      <c r="K41" s="752"/>
      <c r="L41" s="752"/>
      <c r="M41" s="752"/>
      <c r="N41" s="752"/>
      <c r="O41" s="752"/>
      <c r="P41" s="752"/>
      <c r="Q41" s="752"/>
      <c r="R41" s="752"/>
      <c r="S41" s="752"/>
      <c r="T41" s="753"/>
      <c r="U41" s="139"/>
      <c r="V41" s="276"/>
      <c r="W41" s="276"/>
      <c r="X41" s="309" t="str">
        <f t="shared" si="17"/>
        <v>Dec-2017</v>
      </c>
      <c r="Y41" s="332">
        <v>14</v>
      </c>
      <c r="Z41" s="320">
        <v>5900</v>
      </c>
      <c r="AA41" s="457" t="str">
        <f t="shared" si="18"/>
        <v>Dec-2017</v>
      </c>
      <c r="AB41" s="458" t="str">
        <f t="shared" si="19"/>
        <v>Nov-2017</v>
      </c>
      <c r="AC41" s="458" t="str">
        <f t="shared" si="20"/>
        <v>Dec-2017</v>
      </c>
      <c r="AD41" s="460" t="str">
        <f t="shared" si="21"/>
        <v>Nov-2017</v>
      </c>
      <c r="AE41" s="460" t="str">
        <f t="shared" si="22"/>
        <v>Nov-2017</v>
      </c>
      <c r="AF41" s="274" t="s">
        <v>630</v>
      </c>
      <c r="AG41" s="275"/>
      <c r="AK41" s="318">
        <v>700</v>
      </c>
      <c r="AL41" s="445">
        <v>43070</v>
      </c>
      <c r="AM41" s="446" t="str">
        <f t="shared" si="15"/>
        <v>Dec-2017</v>
      </c>
      <c r="AN41" s="615" t="str">
        <f t="shared" si="16"/>
        <v>December-2017</v>
      </c>
      <c r="AO41" s="616"/>
      <c r="AQ41" s="261">
        <v>39160</v>
      </c>
    </row>
    <row r="42" spans="2:43" ht="21" customHeight="1" x14ac:dyDescent="0.2">
      <c r="B42" s="471" t="str">
        <f>IF(C41&gt;0,"APGLI DEDUCTION మారినదా? మారింటే ఏ నెలలో?",IF(C41="","","APGLI DEDUCTION మారినదా? మారింటే ఏ నెలలో?"))</f>
        <v/>
      </c>
      <c r="C42" s="205"/>
      <c r="I42" s="751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3"/>
      <c r="X42" s="309" t="str">
        <f t="shared" si="17"/>
        <v>Jan-2018</v>
      </c>
      <c r="Y42" s="332">
        <v>15</v>
      </c>
      <c r="Z42" s="320">
        <v>6000</v>
      </c>
      <c r="AA42" s="457" t="str">
        <f t="shared" si="18"/>
        <v>Jan-2018</v>
      </c>
      <c r="AB42" s="458" t="str">
        <f t="shared" si="19"/>
        <v>Dec-2017</v>
      </c>
      <c r="AC42" s="458" t="str">
        <f t="shared" si="20"/>
        <v>Jan-2018</v>
      </c>
      <c r="AD42" s="460" t="str">
        <f t="shared" si="21"/>
        <v>Dec-2017</v>
      </c>
      <c r="AE42" s="460" t="str">
        <f t="shared" si="22"/>
        <v>Dec-2017</v>
      </c>
      <c r="AF42" s="274" t="s">
        <v>631</v>
      </c>
      <c r="AG42" s="275"/>
      <c r="AK42" s="318">
        <v>1000</v>
      </c>
      <c r="AL42" s="445">
        <v>43101</v>
      </c>
      <c r="AM42" s="446" t="str">
        <f t="shared" si="15"/>
        <v>Jan-2018</v>
      </c>
      <c r="AN42" s="615" t="str">
        <f t="shared" si="16"/>
        <v>January-2018</v>
      </c>
      <c r="AO42" s="616"/>
      <c r="AQ42" s="261">
        <v>40270</v>
      </c>
    </row>
    <row r="43" spans="2:43" ht="21" customHeight="1" x14ac:dyDescent="0.3">
      <c r="B43" s="471" t="str">
        <f>IF(C42="NO CHANGE",CONCATENATE("మరోసారి","  ",C41,"  ","ను ఎంచుకోండి    ----&gt;"),IF(C42="","","మారిన తర్వాత APGLI Deduction ? (ఎంపిక / నమోదు)"))</f>
        <v/>
      </c>
      <c r="C43" s="211"/>
      <c r="E43" s="562"/>
      <c r="F43" s="563"/>
      <c r="G43" s="564"/>
      <c r="H43" s="580"/>
      <c r="I43" s="751"/>
      <c r="J43" s="752"/>
      <c r="K43" s="752"/>
      <c r="L43" s="752"/>
      <c r="M43" s="752"/>
      <c r="N43" s="752"/>
      <c r="O43" s="752"/>
      <c r="P43" s="752"/>
      <c r="Q43" s="752"/>
      <c r="R43" s="752"/>
      <c r="S43" s="752"/>
      <c r="T43" s="753"/>
      <c r="U43" s="180"/>
      <c r="V43" s="192"/>
      <c r="W43" s="192"/>
      <c r="X43" s="309" t="str">
        <f t="shared" si="17"/>
        <v>Feb-2018</v>
      </c>
      <c r="Y43" s="332">
        <v>16</v>
      </c>
      <c r="Z43" s="320">
        <v>6100</v>
      </c>
      <c r="AA43" s="457" t="str">
        <f t="shared" si="18"/>
        <v>Feb-2018</v>
      </c>
      <c r="AB43" s="458" t="str">
        <f t="shared" si="19"/>
        <v>Jan-2018</v>
      </c>
      <c r="AC43" s="458" t="str">
        <f t="shared" si="20"/>
        <v>Feb-2018</v>
      </c>
      <c r="AD43" s="460" t="str">
        <f t="shared" si="21"/>
        <v>Jan-2018</v>
      </c>
      <c r="AE43" s="460" t="str">
        <f t="shared" si="22"/>
        <v>Jan-2018</v>
      </c>
      <c r="AF43" s="274" t="s">
        <v>632</v>
      </c>
      <c r="AG43" s="275"/>
      <c r="AK43" s="271"/>
      <c r="AL43" s="445">
        <v>43132</v>
      </c>
      <c r="AM43" s="446" t="str">
        <f t="shared" si="15"/>
        <v>Feb-2018</v>
      </c>
      <c r="AN43" s="615" t="str">
        <f t="shared" si="16"/>
        <v>February-2018</v>
      </c>
      <c r="AO43" s="616"/>
      <c r="AQ43" s="261">
        <v>41380</v>
      </c>
    </row>
    <row r="44" spans="2:43" ht="21" customHeight="1" thickBot="1" x14ac:dyDescent="0.35">
      <c r="B44" s="468" t="s">
        <v>390</v>
      </c>
      <c r="C44" s="211"/>
      <c r="I44" s="754"/>
      <c r="J44" s="755"/>
      <c r="K44" s="755"/>
      <c r="L44" s="755"/>
      <c r="M44" s="755"/>
      <c r="N44" s="755"/>
      <c r="O44" s="755"/>
      <c r="P44" s="755"/>
      <c r="Q44" s="755"/>
      <c r="R44" s="755"/>
      <c r="S44" s="755"/>
      <c r="T44" s="756"/>
      <c r="U44" s="180"/>
      <c r="V44" s="192"/>
      <c r="W44" s="192"/>
      <c r="Y44" s="332">
        <v>17</v>
      </c>
      <c r="Z44" s="320">
        <v>6200</v>
      </c>
      <c r="AA44" s="459"/>
      <c r="AB44" s="458" t="str">
        <f t="shared" si="19"/>
        <v>Feb-2018</v>
      </c>
      <c r="AC44" s="459"/>
      <c r="AD44" s="460" t="str">
        <f t="shared" si="21"/>
        <v>Feb-2018</v>
      </c>
      <c r="AE44" s="460" t="str">
        <f t="shared" si="22"/>
        <v>Feb-2018</v>
      </c>
      <c r="AF44" s="274" t="s">
        <v>633</v>
      </c>
      <c r="AG44" s="275"/>
      <c r="AL44" s="445">
        <v>43160</v>
      </c>
      <c r="AM44" s="446" t="str">
        <f t="shared" si="15"/>
        <v>Mar-2018</v>
      </c>
      <c r="AN44" s="615" t="str">
        <f t="shared" si="16"/>
        <v>March-2018</v>
      </c>
      <c r="AO44" s="616"/>
      <c r="AQ44" s="261">
        <v>42490</v>
      </c>
    </row>
    <row r="45" spans="2:43" ht="21" customHeight="1" thickTop="1" thickBot="1" x14ac:dyDescent="0.25">
      <c r="B45" s="468" t="str">
        <f>IF(C44="","",IF(C44&gt;0,"GIS  DEDUCTION మారినదా? మారింటే ఏ నెలలో?","GIS  DEDUCTION మారినదా? మారింటే ఏ నెలలో?"))</f>
        <v/>
      </c>
      <c r="C45" s="205"/>
      <c r="U45" s="181"/>
      <c r="V45" s="193"/>
      <c r="W45" s="193"/>
      <c r="Y45" s="332">
        <v>18</v>
      </c>
      <c r="Z45" s="320">
        <v>6300</v>
      </c>
      <c r="AL45" s="445">
        <v>43191</v>
      </c>
      <c r="AM45" s="446" t="str">
        <f t="shared" si="15"/>
        <v>Apr-2018</v>
      </c>
      <c r="AN45" s="615" t="str">
        <f t="shared" si="16"/>
        <v>April-2018</v>
      </c>
      <c r="AO45" s="616"/>
      <c r="AQ45" s="261">
        <v>43680</v>
      </c>
    </row>
    <row r="46" spans="2:43" ht="21" customHeight="1" thickTop="1" thickBot="1" x14ac:dyDescent="0.35">
      <c r="B46" s="468" t="str">
        <f>IF(C45="","",IF(C45="NO CHANGE",CONCATENATE("మరోసారి","  ",C44,"  ","ను ఎంచుకోండి    ----&gt;"),"మారిన తర్వాత GIS DEDUCTION   ----&gt;"))</f>
        <v/>
      </c>
      <c r="C46" s="211"/>
      <c r="I46" s="705" t="s">
        <v>22</v>
      </c>
      <c r="J46" s="705"/>
      <c r="K46" s="703" t="s">
        <v>23</v>
      </c>
      <c r="L46" s="703"/>
      <c r="M46" s="703" t="s">
        <v>24</v>
      </c>
      <c r="N46" s="703"/>
      <c r="O46" s="705" t="s">
        <v>25</v>
      </c>
      <c r="P46" s="705"/>
      <c r="Q46" s="727"/>
      <c r="R46" s="728"/>
      <c r="S46" s="728"/>
      <c r="T46" s="729"/>
      <c r="U46" s="181"/>
      <c r="V46" s="193"/>
      <c r="W46" s="193"/>
      <c r="Y46" s="332">
        <v>19</v>
      </c>
      <c r="Z46" s="320">
        <v>6400</v>
      </c>
      <c r="AO46" s="256"/>
      <c r="AQ46" s="261">
        <v>44870</v>
      </c>
    </row>
    <row r="47" spans="2:43" ht="21" customHeight="1" thickTop="1" thickBot="1" x14ac:dyDescent="0.35">
      <c r="B47" s="472" t="s">
        <v>391</v>
      </c>
      <c r="C47" s="211"/>
      <c r="I47" s="705"/>
      <c r="J47" s="705"/>
      <c r="K47" s="703"/>
      <c r="L47" s="703"/>
      <c r="M47" s="703"/>
      <c r="N47" s="703"/>
      <c r="O47" s="705"/>
      <c r="P47" s="705"/>
      <c r="Q47" s="730"/>
      <c r="R47" s="731"/>
      <c r="S47" s="731"/>
      <c r="T47" s="732"/>
      <c r="U47" s="181"/>
      <c r="V47" s="193"/>
      <c r="W47" s="193"/>
      <c r="Y47" s="332">
        <v>20</v>
      </c>
      <c r="Z47" s="320">
        <v>6500</v>
      </c>
      <c r="AA47" s="272"/>
      <c r="AO47" s="256"/>
      <c r="AQ47" s="261">
        <v>46060</v>
      </c>
    </row>
    <row r="48" spans="2:43" ht="21" customHeight="1" thickTop="1" thickBot="1" x14ac:dyDescent="0.25">
      <c r="B48" s="472" t="str">
        <f>IF(C47="","","P.TAX  DEDUCTION మారినదా? మారింటే ఏ నెలలో?")</f>
        <v/>
      </c>
      <c r="C48" s="205"/>
      <c r="I48" s="705"/>
      <c r="J48" s="705"/>
      <c r="K48" s="703"/>
      <c r="L48" s="703"/>
      <c r="M48" s="703"/>
      <c r="N48" s="703"/>
      <c r="O48" s="705"/>
      <c r="P48" s="705"/>
      <c r="Q48" s="730"/>
      <c r="R48" s="731"/>
      <c r="S48" s="731"/>
      <c r="T48" s="732"/>
      <c r="U48" s="181"/>
      <c r="V48" s="193"/>
      <c r="W48" s="193"/>
      <c r="Y48" s="332">
        <v>21</v>
      </c>
      <c r="Z48" s="320">
        <v>6600</v>
      </c>
      <c r="AB48" s="239"/>
      <c r="AE48" s="239"/>
      <c r="AH48" s="273"/>
      <c r="AI48" s="273"/>
      <c r="AJ48" s="273"/>
      <c r="AO48" s="256"/>
      <c r="AQ48" s="261">
        <v>47330</v>
      </c>
    </row>
    <row r="49" spans="2:43" ht="21" customHeight="1" thickTop="1" thickBot="1" x14ac:dyDescent="0.35">
      <c r="B49" s="472" t="str">
        <f>IF(C48="","",IF(C48="NO CHANGE",CONCATENATE("మరోసారి","  ",C47,"  ","ను ఎంచుకోండి    ----&gt;"),"మారిన తర్వాత P.TAX DEDUCTION   ----&gt;"))</f>
        <v/>
      </c>
      <c r="C49" s="211"/>
      <c r="I49" s="701" t="s">
        <v>26</v>
      </c>
      <c r="J49" s="701"/>
      <c r="K49" s="697" t="s">
        <v>27</v>
      </c>
      <c r="L49" s="697"/>
      <c r="M49" s="201" t="s">
        <v>28</v>
      </c>
      <c r="N49" s="201"/>
      <c r="O49" s="697" t="s">
        <v>29</v>
      </c>
      <c r="P49" s="697"/>
      <c r="Q49" s="730"/>
      <c r="R49" s="731"/>
      <c r="S49" s="731"/>
      <c r="T49" s="732"/>
      <c r="U49" s="181"/>
      <c r="V49" s="193"/>
      <c r="W49" s="193"/>
      <c r="Y49" s="332">
        <v>22</v>
      </c>
      <c r="Z49" s="320">
        <v>6700</v>
      </c>
      <c r="AE49" s="239"/>
      <c r="AH49" s="263"/>
      <c r="AI49" s="263"/>
      <c r="AJ49" s="263"/>
      <c r="AO49" s="256"/>
      <c r="AQ49" s="261">
        <v>48600</v>
      </c>
    </row>
    <row r="50" spans="2:43" ht="21" customHeight="1" thickTop="1" thickBot="1" x14ac:dyDescent="0.35">
      <c r="B50" s="471" t="s">
        <v>392</v>
      </c>
      <c r="C50" s="211"/>
      <c r="I50" s="709" t="s">
        <v>30</v>
      </c>
      <c r="J50" s="709"/>
      <c r="K50" s="693" t="s">
        <v>31</v>
      </c>
      <c r="L50" s="693"/>
      <c r="M50" s="202" t="s">
        <v>32</v>
      </c>
      <c r="N50" s="202"/>
      <c r="O50" s="693" t="s">
        <v>33</v>
      </c>
      <c r="P50" s="693"/>
      <c r="Q50" s="730"/>
      <c r="R50" s="731"/>
      <c r="S50" s="731"/>
      <c r="T50" s="732"/>
      <c r="Y50" s="332">
        <v>23</v>
      </c>
      <c r="Z50" s="320">
        <v>6800</v>
      </c>
      <c r="AC50" s="239"/>
      <c r="AD50" s="239"/>
      <c r="AE50" s="239"/>
      <c r="AH50" s="234"/>
      <c r="AI50" s="234"/>
      <c r="AJ50" s="234"/>
      <c r="AO50" s="256"/>
      <c r="AQ50" s="261">
        <v>49870</v>
      </c>
    </row>
    <row r="51" spans="2:43" ht="21" customHeight="1" thickTop="1" thickBot="1" x14ac:dyDescent="0.25">
      <c r="B51" s="471" t="str">
        <f>IF(C50="","","EHS  DEDUCTION మారినదా? మారింటే ఏ నెలలో?")</f>
        <v/>
      </c>
      <c r="C51" s="205"/>
      <c r="I51" s="704" t="s">
        <v>386</v>
      </c>
      <c r="J51" s="704"/>
      <c r="K51" s="702" t="s">
        <v>28</v>
      </c>
      <c r="L51" s="702"/>
      <c r="M51" s="203" t="s">
        <v>29</v>
      </c>
      <c r="N51" s="203"/>
      <c r="O51" s="702" t="s">
        <v>34</v>
      </c>
      <c r="P51" s="702"/>
      <c r="Q51" s="730"/>
      <c r="R51" s="731"/>
      <c r="S51" s="731"/>
      <c r="T51" s="732"/>
      <c r="Y51" s="332">
        <v>24</v>
      </c>
      <c r="Z51" s="320">
        <v>6900</v>
      </c>
      <c r="AC51" s="265"/>
      <c r="AD51" s="265"/>
      <c r="AE51" s="265"/>
      <c r="AH51" s="234"/>
      <c r="AI51" s="234"/>
      <c r="AJ51" s="234"/>
      <c r="AO51" s="256"/>
      <c r="AQ51" s="277">
        <v>51230</v>
      </c>
    </row>
    <row r="52" spans="2:43" ht="21" customHeight="1" thickTop="1" thickBot="1" x14ac:dyDescent="0.35">
      <c r="B52" s="471" t="str">
        <f>IF(C51="","",IF(C51="NO CHANGE",CONCATENATE("మరోసారి","  ",C50,"  ","ను ఎంచుకోండి    ----&gt;"),"మారిన తర్వాత EHS DEDUCTION   ----&gt;"))</f>
        <v/>
      </c>
      <c r="C52" s="211"/>
      <c r="I52" s="726" t="s">
        <v>35</v>
      </c>
      <c r="J52" s="726"/>
      <c r="K52" s="725" t="s">
        <v>29</v>
      </c>
      <c r="L52" s="725"/>
      <c r="M52" s="204" t="s">
        <v>34</v>
      </c>
      <c r="N52" s="204"/>
      <c r="O52" s="725" t="s">
        <v>36</v>
      </c>
      <c r="P52" s="725"/>
      <c r="Q52" s="733"/>
      <c r="R52" s="734"/>
      <c r="S52" s="734"/>
      <c r="T52" s="735"/>
      <c r="Y52" s="332">
        <v>25</v>
      </c>
      <c r="Z52" s="320">
        <v>7000</v>
      </c>
      <c r="AC52" s="265"/>
      <c r="AD52" s="265"/>
      <c r="AE52" s="265"/>
      <c r="AH52" s="234"/>
      <c r="AI52" s="234"/>
      <c r="AJ52" s="234"/>
      <c r="AO52" s="256"/>
      <c r="AQ52" s="261">
        <v>52590</v>
      </c>
    </row>
    <row r="53" spans="2:43" ht="21" customHeight="1" thickTop="1" x14ac:dyDescent="0.25">
      <c r="B53" s="473"/>
      <c r="Y53" s="332">
        <v>26</v>
      </c>
      <c r="Z53" s="320">
        <v>7100</v>
      </c>
      <c r="AC53" s="239"/>
      <c r="AD53" s="239"/>
      <c r="AE53" s="239"/>
      <c r="AF53" s="239"/>
      <c r="AG53" s="239"/>
      <c r="AH53" s="239"/>
      <c r="AI53" s="239"/>
      <c r="AJ53" s="239"/>
      <c r="AO53" s="256"/>
      <c r="AQ53" s="261">
        <v>53950</v>
      </c>
    </row>
    <row r="54" spans="2:43" ht="21" customHeight="1" x14ac:dyDescent="0.2">
      <c r="B54" s="475" t="s">
        <v>637</v>
      </c>
      <c r="C54" s="209"/>
      <c r="Y54" s="332">
        <v>27</v>
      </c>
      <c r="Z54" s="320">
        <v>7200</v>
      </c>
      <c r="AA54" s="239" t="s">
        <v>245</v>
      </c>
      <c r="AQ54" s="261">
        <v>55410</v>
      </c>
    </row>
    <row r="55" spans="2:43" ht="21" customHeight="1" x14ac:dyDescent="0.2">
      <c r="B55" s="475" t="str">
        <f>IF(C54="","",IF(C54="YES"," ఏ నెలలో  ENCASH  చేసుకున్నారు  ----&gt;","NOT ENCASHED ను ఎంచుకోండి"))</f>
        <v/>
      </c>
      <c r="C55" s="210"/>
      <c r="Y55" s="332">
        <v>28</v>
      </c>
      <c r="Z55" s="320">
        <v>7300</v>
      </c>
      <c r="AA55" s="239" t="s">
        <v>282</v>
      </c>
      <c r="AG55" s="278"/>
      <c r="AM55" s="239" t="s">
        <v>620</v>
      </c>
      <c r="AQ55" s="261">
        <v>56870</v>
      </c>
    </row>
    <row r="56" spans="2:43" ht="21" customHeight="1" x14ac:dyDescent="0.2">
      <c r="B56" s="475" t="str">
        <f>IF(C54="","",IF(C54="NO",CONCATENATE("సున్నాను (zero) ఎంచుకోండి    ----&gt;"),"ఎన్ని రోజులకు ENCASH  చేసుకున్నారు  ----&gt;"))</f>
        <v/>
      </c>
      <c r="C56" s="212"/>
      <c r="Y56" s="332">
        <v>29</v>
      </c>
      <c r="Z56" s="320">
        <v>7400</v>
      </c>
      <c r="AA56" s="239" t="s">
        <v>275</v>
      </c>
      <c r="AG56" s="278"/>
      <c r="AM56" s="239" t="s">
        <v>619</v>
      </c>
      <c r="AQ56" s="261">
        <v>58330</v>
      </c>
    </row>
    <row r="57" spans="2:43" ht="21" customHeight="1" x14ac:dyDescent="0.25">
      <c r="B57" s="474"/>
      <c r="Y57" s="332">
        <v>30</v>
      </c>
      <c r="Z57" s="320">
        <v>7500</v>
      </c>
      <c r="AA57" s="239" t="s">
        <v>281</v>
      </c>
      <c r="AG57" s="278"/>
      <c r="AM57" s="239" t="s">
        <v>63</v>
      </c>
      <c r="AQ57" s="261">
        <v>59890</v>
      </c>
    </row>
    <row r="58" spans="2:43" ht="21" customHeight="1" x14ac:dyDescent="0.3">
      <c r="B58" s="476" t="s">
        <v>312</v>
      </c>
      <c r="C58" s="440"/>
      <c r="Y58" s="332">
        <v>31</v>
      </c>
      <c r="Z58" s="320">
        <v>7600</v>
      </c>
      <c r="AA58" s="239" t="s">
        <v>290</v>
      </c>
      <c r="AG58" s="278"/>
      <c r="AM58" s="239" t="s">
        <v>62</v>
      </c>
      <c r="AQ58" s="261">
        <v>61450</v>
      </c>
    </row>
    <row r="59" spans="2:43" ht="21" customHeight="1" thickBot="1" x14ac:dyDescent="0.25">
      <c r="B59" s="476" t="str">
        <f>IF(C58="","","ZPPF/GPF  Deduction మారినదా? మారింటే ఏ నెలలో?")</f>
        <v/>
      </c>
      <c r="C59" s="205"/>
      <c r="Z59" s="320">
        <v>7700</v>
      </c>
      <c r="AA59" s="239" t="s">
        <v>283</v>
      </c>
      <c r="AG59" s="278"/>
      <c r="AM59" s="239" t="s">
        <v>613</v>
      </c>
      <c r="AQ59" s="261">
        <v>63010</v>
      </c>
    </row>
    <row r="60" spans="2:43" ht="20.100000000000001" customHeight="1" thickTop="1" x14ac:dyDescent="0.3">
      <c r="B60" s="476" t="str">
        <f>IF(C59="","",IF(C59="NO CHANGE",CONCATENATE("మరోసారి","  ",C58,"  ","ను Enter చెయ్యండి   ----&gt;"),"మారిన తర్వాత ZP/GPF DEDUCTION   ----&gt;"))</f>
        <v/>
      </c>
      <c r="C60" s="440"/>
      <c r="G60" s="565"/>
      <c r="I60" s="694" t="s">
        <v>648</v>
      </c>
      <c r="J60" s="745" t="str">
        <f>CONCATENATE(B2, " గారు మీకు ఒకవేళ PF LOAN Deduction కాకుండా APGLI LOAN Deduction ఉంటే ,
 PF LOAN Deduction పట్టికనే పూరించి , PRINT తీసుకున్నాక ZPPF LOAN ఉన్న
 ఒకే ఒక్కచోట APGLI LOAN అని REPLACE చేసుకోగలరు.")</f>
        <v xml:space="preserve"> గారు మీకు ఒకవేళ PF LOAN Deduction కాకుండా APGLI LOAN Deduction ఉంటే ,
 PF LOAN Deduction పట్టికనే పూరించి , PRINT తీసుకున్నాక ZPPF LOAN ఉన్న
 ఒకే ఒక్కచోట APGLI LOAN అని REPLACE చేసుకోగలరు.</v>
      </c>
      <c r="K60" s="745"/>
      <c r="L60" s="745"/>
      <c r="M60" s="745"/>
      <c r="N60" s="745"/>
      <c r="O60" s="745"/>
      <c r="P60" s="745"/>
      <c r="Q60" s="745"/>
      <c r="R60" s="745"/>
      <c r="S60" s="745"/>
      <c r="T60" s="746"/>
      <c r="Z60" s="320">
        <v>7800</v>
      </c>
      <c r="AA60" s="239" t="s">
        <v>289</v>
      </c>
      <c r="AG60" s="278"/>
      <c r="AM60" s="239" t="s">
        <v>612</v>
      </c>
      <c r="AQ60" s="261">
        <v>64670</v>
      </c>
    </row>
    <row r="61" spans="2:43" ht="20.100000000000001" customHeight="1" x14ac:dyDescent="0.3">
      <c r="B61" s="472" t="s">
        <v>313</v>
      </c>
      <c r="C61" s="440"/>
      <c r="G61" s="565"/>
      <c r="I61" s="695"/>
      <c r="J61" s="747"/>
      <c r="K61" s="747"/>
      <c r="L61" s="747"/>
      <c r="M61" s="747"/>
      <c r="N61" s="747"/>
      <c r="O61" s="747"/>
      <c r="P61" s="747"/>
      <c r="Q61" s="747"/>
      <c r="R61" s="747"/>
      <c r="S61" s="747"/>
      <c r="T61" s="748"/>
      <c r="Z61" s="320">
        <v>7900</v>
      </c>
      <c r="AA61" s="239" t="s">
        <v>277</v>
      </c>
      <c r="AG61" s="278"/>
      <c r="AM61" s="239" t="s">
        <v>611</v>
      </c>
      <c r="AQ61" s="261">
        <v>66330</v>
      </c>
    </row>
    <row r="62" spans="2:43" ht="21" customHeight="1" x14ac:dyDescent="0.2">
      <c r="B62" s="472" t="str">
        <f>IF(C61="","","PF LOAN Deduction మారినదా? మారింటే ఏ నెలలో?")</f>
        <v/>
      </c>
      <c r="C62" s="205"/>
      <c r="G62" s="565"/>
      <c r="I62" s="695"/>
      <c r="J62" s="747"/>
      <c r="K62" s="747"/>
      <c r="L62" s="747"/>
      <c r="M62" s="747"/>
      <c r="N62" s="747"/>
      <c r="O62" s="747"/>
      <c r="P62" s="747"/>
      <c r="Q62" s="747"/>
      <c r="R62" s="747"/>
      <c r="S62" s="747"/>
      <c r="T62" s="748"/>
      <c r="U62" s="139"/>
      <c r="V62" s="276"/>
      <c r="W62" s="276"/>
      <c r="Z62" s="320">
        <v>8000</v>
      </c>
      <c r="AA62" s="239" t="s">
        <v>279</v>
      </c>
      <c r="AG62" s="278"/>
      <c r="AM62" s="239" t="s">
        <v>614</v>
      </c>
      <c r="AQ62" s="261">
        <v>67990</v>
      </c>
    </row>
    <row r="63" spans="2:43" ht="21" customHeight="1" thickBot="1" x14ac:dyDescent="0.35">
      <c r="B63" s="472" t="str">
        <f>IF(C62="","",IF(C62="NO CHANGE",CONCATENATE("మరోసారి","  ",C61,"  ","ను Enter చెయ్యండి    ----&gt;"),"మారిన తర్వాత PF LOAN DEDUCTION   ----&gt;"))</f>
        <v/>
      </c>
      <c r="C63" s="440"/>
      <c r="G63" s="565"/>
      <c r="I63" s="696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50"/>
      <c r="U63" s="139"/>
      <c r="V63" s="276"/>
      <c r="W63" s="276"/>
      <c r="Z63" s="320">
        <v>8100</v>
      </c>
      <c r="AA63" s="239" t="s">
        <v>280</v>
      </c>
      <c r="AG63" s="239"/>
      <c r="AM63" s="239" t="s">
        <v>615</v>
      </c>
      <c r="AQ63" s="261">
        <v>69750</v>
      </c>
    </row>
    <row r="64" spans="2:43" ht="21" customHeight="1" thickTop="1" thickBot="1" x14ac:dyDescent="0.3">
      <c r="B64" s="474"/>
      <c r="U64" s="139"/>
      <c r="V64" s="276"/>
      <c r="W64" s="276"/>
      <c r="Z64" s="320">
        <v>8200</v>
      </c>
      <c r="AA64" s="239" t="s">
        <v>278</v>
      </c>
      <c r="AI64" s="269"/>
      <c r="AJ64" s="269"/>
      <c r="AM64" s="239" t="s">
        <v>61</v>
      </c>
      <c r="AQ64" s="261">
        <v>71510</v>
      </c>
    </row>
    <row r="65" spans="2:43" ht="21" customHeight="1" thickTop="1" x14ac:dyDescent="0.2">
      <c r="B65" s="525" t="s">
        <v>302</v>
      </c>
      <c r="C65" s="209"/>
      <c r="I65" s="739" t="s">
        <v>645</v>
      </c>
      <c r="J65" s="740"/>
      <c r="K65" s="740"/>
      <c r="L65" s="740"/>
      <c r="M65" s="740"/>
      <c r="N65" s="740"/>
      <c r="O65" s="740"/>
      <c r="P65" s="740"/>
      <c r="Q65" s="740"/>
      <c r="R65" s="740"/>
      <c r="S65" s="740"/>
      <c r="T65" s="741"/>
      <c r="Z65" s="320">
        <v>8300</v>
      </c>
      <c r="AA65" s="239" t="s">
        <v>273</v>
      </c>
      <c r="AI65" s="269"/>
      <c r="AJ65" s="269"/>
      <c r="AM65" s="239" t="s">
        <v>60</v>
      </c>
      <c r="AQ65" s="261">
        <v>73270</v>
      </c>
    </row>
    <row r="66" spans="2:43" ht="21" customHeight="1" x14ac:dyDescent="0.3">
      <c r="B66" s="526" t="str">
        <f>IF(C65="","",IF(C65="YES","2017 April నెలలో PHA ఎన్ని రోజులకు లెక్కించాలి?","PHA అందుకోవట్లేదు. సున్నా/ఖాళీగా ఉంచండి."))</f>
        <v/>
      </c>
      <c r="C66" s="207"/>
      <c r="I66" s="742"/>
      <c r="J66" s="743"/>
      <c r="K66" s="743"/>
      <c r="L66" s="743"/>
      <c r="M66" s="743"/>
      <c r="N66" s="743"/>
      <c r="O66" s="743"/>
      <c r="P66" s="743"/>
      <c r="Q66" s="743"/>
      <c r="R66" s="743"/>
      <c r="S66" s="743"/>
      <c r="T66" s="744"/>
      <c r="U66" s="182"/>
      <c r="V66" s="279"/>
      <c r="W66" s="279"/>
      <c r="Z66" s="320">
        <v>8400</v>
      </c>
      <c r="AA66" s="239" t="s">
        <v>284</v>
      </c>
      <c r="AI66" s="269"/>
      <c r="AJ66" s="269"/>
      <c r="AM66" s="239" t="s">
        <v>616</v>
      </c>
      <c r="AQ66" s="261">
        <v>75150</v>
      </c>
    </row>
    <row r="67" spans="2:43" ht="21" customHeight="1" x14ac:dyDescent="0.3">
      <c r="B67" s="526" t="str">
        <f>IF(C65="","",IF(C65="YES","2017 MAY నెలలో PHA ఎన్ని రోజులకు లెక్కించాలి?","PHA అందుకోవట్లేదు. సున్నా/ఖాళీగా ఉంచండి."))</f>
        <v/>
      </c>
      <c r="C67" s="207"/>
      <c r="I67" s="742"/>
      <c r="J67" s="743"/>
      <c r="K67" s="743"/>
      <c r="L67" s="743"/>
      <c r="M67" s="743"/>
      <c r="N67" s="743"/>
      <c r="O67" s="743"/>
      <c r="P67" s="743"/>
      <c r="Q67" s="743"/>
      <c r="R67" s="743"/>
      <c r="S67" s="743"/>
      <c r="T67" s="744"/>
      <c r="U67" s="182"/>
      <c r="V67" s="279"/>
      <c r="W67" s="279"/>
      <c r="Z67" s="320">
        <v>8500</v>
      </c>
      <c r="AA67" s="239" t="s">
        <v>291</v>
      </c>
      <c r="AI67" s="269"/>
      <c r="AJ67" s="269"/>
      <c r="AM67" s="239" t="s">
        <v>617</v>
      </c>
      <c r="AQ67" s="261">
        <v>77030</v>
      </c>
    </row>
    <row r="68" spans="2:43" ht="21" customHeight="1" x14ac:dyDescent="0.3">
      <c r="B68" s="526" t="str">
        <f>IF(C65="","",IF(C65="YES","2017 JUNE నెలలో PHA ఎన్ని రోజులకు లెక్కించాలి?","PHA అందుకోవట్లేదు. సున్నా/ఖాళీగా ఉంచండి."))</f>
        <v/>
      </c>
      <c r="C68" s="207"/>
      <c r="I68" s="742"/>
      <c r="J68" s="743"/>
      <c r="K68" s="743"/>
      <c r="L68" s="743"/>
      <c r="M68" s="743"/>
      <c r="N68" s="743"/>
      <c r="O68" s="743"/>
      <c r="P68" s="743"/>
      <c r="Q68" s="743"/>
      <c r="R68" s="743"/>
      <c r="S68" s="743"/>
      <c r="T68" s="744"/>
      <c r="U68" s="182"/>
      <c r="V68" s="279"/>
      <c r="W68" s="279"/>
      <c r="Z68" s="320">
        <v>8600</v>
      </c>
      <c r="AA68" s="239" t="s">
        <v>288</v>
      </c>
      <c r="AI68" s="269"/>
      <c r="AJ68" s="269"/>
      <c r="AM68" s="239" t="s">
        <v>618</v>
      </c>
      <c r="AQ68" s="277">
        <v>78910</v>
      </c>
    </row>
    <row r="69" spans="2:43" ht="21" customHeight="1" x14ac:dyDescent="0.3">
      <c r="B69" s="478" t="s">
        <v>306</v>
      </c>
      <c r="C69" s="213"/>
      <c r="I69" s="736" t="s">
        <v>303</v>
      </c>
      <c r="J69" s="737"/>
      <c r="K69" s="737"/>
      <c r="L69" s="737"/>
      <c r="M69" s="737"/>
      <c r="N69" s="737"/>
      <c r="O69" s="737"/>
      <c r="P69" s="737"/>
      <c r="Q69" s="737"/>
      <c r="R69" s="737"/>
      <c r="S69" s="737"/>
      <c r="T69" s="738"/>
      <c r="Z69" s="320">
        <v>8700</v>
      </c>
      <c r="AA69" s="239" t="s">
        <v>276</v>
      </c>
      <c r="AM69" s="239"/>
      <c r="AQ69" s="277">
        <v>80930</v>
      </c>
    </row>
    <row r="70" spans="2:43" ht="21" customHeight="1" x14ac:dyDescent="0.3">
      <c r="B70" s="471" t="str">
        <f>IF(C69="","",IF(C69&gt;0,"2017 April నెలలో RA ఎన్ని రోజులకు లెక్కించాలి ?"," RA అందుకోవట్లేదు. సున్నా/ఖాళీగా ఉంచండి."))</f>
        <v/>
      </c>
      <c r="C70" s="207"/>
      <c r="I70" s="736"/>
      <c r="J70" s="737"/>
      <c r="K70" s="737"/>
      <c r="L70" s="737"/>
      <c r="M70" s="737"/>
      <c r="N70" s="737"/>
      <c r="O70" s="737"/>
      <c r="P70" s="737"/>
      <c r="Q70" s="737"/>
      <c r="R70" s="737"/>
      <c r="S70" s="737"/>
      <c r="T70" s="738"/>
      <c r="U70" s="186"/>
      <c r="V70" s="191"/>
      <c r="W70" s="191"/>
      <c r="Z70" s="320">
        <v>8800</v>
      </c>
      <c r="AA70" s="239" t="s">
        <v>274</v>
      </c>
      <c r="AQ70" s="277">
        <v>82950</v>
      </c>
    </row>
    <row r="71" spans="2:43" ht="21" customHeight="1" x14ac:dyDescent="0.3">
      <c r="B71" s="471" t="str">
        <f>IF(C69="","",IF(C69&gt;0,"2017 MAY నెలలో RA ఎన్ని రోజులకు లెక్కించాలి ?"," RA అందుకోవట్లేదు. సున్నా/ఖాళీగా ఉంచండి."))</f>
        <v/>
      </c>
      <c r="C71" s="207"/>
      <c r="I71" s="736"/>
      <c r="J71" s="737"/>
      <c r="K71" s="737"/>
      <c r="L71" s="737"/>
      <c r="M71" s="737"/>
      <c r="N71" s="737"/>
      <c r="O71" s="737"/>
      <c r="P71" s="737"/>
      <c r="Q71" s="737"/>
      <c r="R71" s="737"/>
      <c r="S71" s="737"/>
      <c r="T71" s="738"/>
      <c r="U71" s="186"/>
      <c r="V71" s="191"/>
      <c r="W71" s="191"/>
      <c r="Z71" s="320">
        <v>8900</v>
      </c>
      <c r="AA71" s="239" t="s">
        <v>285</v>
      </c>
      <c r="AQ71" s="277">
        <v>84970</v>
      </c>
    </row>
    <row r="72" spans="2:43" ht="21" customHeight="1" x14ac:dyDescent="0.3">
      <c r="B72" s="471" t="str">
        <f>IF(C69="","",IF(C69&gt;0,"2017 JUNE నెలలో RA ఎన్ని రోజులకు లెక్కించాలి ?"," RA అందుకోవట్లేదు. సున్నా/ఖాళీగా ఉంచండి."))</f>
        <v/>
      </c>
      <c r="C72" s="207"/>
      <c r="I72" s="736"/>
      <c r="J72" s="737"/>
      <c r="K72" s="737"/>
      <c r="L72" s="737"/>
      <c r="M72" s="737"/>
      <c r="N72" s="737"/>
      <c r="O72" s="737"/>
      <c r="P72" s="737"/>
      <c r="Q72" s="737"/>
      <c r="R72" s="737"/>
      <c r="S72" s="737"/>
      <c r="T72" s="738"/>
      <c r="U72" s="186"/>
      <c r="V72" s="191"/>
      <c r="W72" s="191"/>
      <c r="X72" s="194"/>
      <c r="Z72" s="320">
        <v>9000</v>
      </c>
      <c r="AQ72" s="194">
        <v>87130</v>
      </c>
    </row>
    <row r="73" spans="2:43" ht="21" customHeight="1" x14ac:dyDescent="0.2">
      <c r="B73" s="477" t="s">
        <v>301</v>
      </c>
      <c r="C73" s="209"/>
      <c r="I73" s="713" t="s">
        <v>304</v>
      </c>
      <c r="J73" s="714"/>
      <c r="K73" s="714"/>
      <c r="L73" s="714"/>
      <c r="M73" s="714"/>
      <c r="N73" s="714"/>
      <c r="O73" s="714"/>
      <c r="P73" s="714"/>
      <c r="Q73" s="714"/>
      <c r="R73" s="714"/>
      <c r="S73" s="714"/>
      <c r="T73" s="715"/>
      <c r="U73" s="186"/>
      <c r="V73" s="191"/>
      <c r="W73" s="191"/>
      <c r="X73" s="194"/>
      <c r="Z73" s="320">
        <v>9100</v>
      </c>
      <c r="AB73" s="486"/>
      <c r="AC73" s="486"/>
      <c r="AD73" s="488" t="s">
        <v>649</v>
      </c>
      <c r="AE73" s="488"/>
      <c r="AF73" s="488"/>
      <c r="AQ73" s="194">
        <v>89290</v>
      </c>
    </row>
    <row r="74" spans="2:43" ht="21" customHeight="1" x14ac:dyDescent="0.3">
      <c r="B74" s="472" t="str">
        <f>IF(C73="","",IF(C73="YES","2017 March నెలలో మీరందుకున్న C.C.A ఎంత","C.C.A. అందుకోవట్లేదు. సున్నాను ఎంచుకోండి"))</f>
        <v/>
      </c>
      <c r="C74" s="213"/>
      <c r="I74" s="716" t="s">
        <v>305</v>
      </c>
      <c r="J74" s="717"/>
      <c r="K74" s="717"/>
      <c r="L74" s="717"/>
      <c r="M74" s="717"/>
      <c r="N74" s="717"/>
      <c r="O74" s="717"/>
      <c r="P74" s="717"/>
      <c r="Q74" s="717"/>
      <c r="R74" s="717"/>
      <c r="S74" s="717"/>
      <c r="T74" s="718"/>
      <c r="U74" s="187"/>
      <c r="V74" s="280"/>
      <c r="W74" s="280"/>
      <c r="X74" s="194"/>
      <c r="Z74" s="320">
        <v>9200</v>
      </c>
      <c r="AB74" s="486"/>
      <c r="AC74" s="486"/>
      <c r="AD74" s="488" t="s">
        <v>639</v>
      </c>
      <c r="AE74" s="488"/>
      <c r="AF74" s="488"/>
      <c r="AQ74" s="194">
        <v>91450</v>
      </c>
    </row>
    <row r="75" spans="2:43" ht="21" customHeight="1" x14ac:dyDescent="0.2">
      <c r="B75" s="472" t="str">
        <f>IF(C73="","",IF(C73="YES","2017 March తర్వాత C.C.A. మారిన నెల ?","NO CHANGE ను ఎంచుకోండి"))</f>
        <v/>
      </c>
      <c r="C75" s="205"/>
      <c r="I75" s="719" t="s">
        <v>658</v>
      </c>
      <c r="J75" s="720"/>
      <c r="K75" s="720"/>
      <c r="L75" s="720"/>
      <c r="M75" s="720"/>
      <c r="N75" s="720"/>
      <c r="O75" s="720"/>
      <c r="P75" s="720"/>
      <c r="Q75" s="720"/>
      <c r="R75" s="720"/>
      <c r="S75" s="720"/>
      <c r="T75" s="721"/>
      <c r="U75" s="186"/>
      <c r="V75" s="191"/>
      <c r="W75" s="191"/>
      <c r="X75" s="194"/>
      <c r="Z75" s="320">
        <v>9300</v>
      </c>
      <c r="AB75" s="486"/>
      <c r="AC75" s="486"/>
      <c r="AD75" s="488" t="s">
        <v>640</v>
      </c>
      <c r="AE75" s="488"/>
      <c r="AF75" s="488"/>
      <c r="AQ75" s="194">
        <v>93780</v>
      </c>
    </row>
    <row r="76" spans="2:43" ht="21" customHeight="1" thickBot="1" x14ac:dyDescent="0.35">
      <c r="B76" s="472" t="str">
        <f>IF(C75="","",IF(C75="NO CHANGE",CONCATENATE("మీ CCA మారలేదు. మరోసారి","  ",C74,"  ","ను ఎంచుకోండి."),"మారిన తర్వాత C.C.A. ఎంత ?  ----&gt;"))</f>
        <v/>
      </c>
      <c r="C76" s="213"/>
      <c r="I76" s="722"/>
      <c r="J76" s="723"/>
      <c r="K76" s="723"/>
      <c r="L76" s="723"/>
      <c r="M76" s="723"/>
      <c r="N76" s="723"/>
      <c r="O76" s="723"/>
      <c r="P76" s="723"/>
      <c r="Q76" s="723"/>
      <c r="R76" s="723"/>
      <c r="S76" s="723"/>
      <c r="T76" s="724"/>
      <c r="U76" s="186"/>
      <c r="V76" s="191"/>
      <c r="W76" s="191"/>
      <c r="X76" s="194"/>
      <c r="Z76" s="320">
        <v>9400</v>
      </c>
      <c r="AB76" s="486"/>
      <c r="AC76" s="486"/>
      <c r="AD76" s="488" t="s">
        <v>641</v>
      </c>
      <c r="AE76" s="488"/>
      <c r="AF76" s="488"/>
      <c r="AQ76" s="194">
        <v>96110</v>
      </c>
    </row>
    <row r="77" spans="2:43" ht="21" customHeight="1" thickTop="1" thickBot="1" x14ac:dyDescent="0.3">
      <c r="B77" s="215"/>
      <c r="U77" s="186"/>
      <c r="V77" s="191"/>
      <c r="W77" s="191"/>
      <c r="X77" s="194"/>
      <c r="Z77" s="320">
        <v>9500</v>
      </c>
      <c r="AB77" s="486"/>
      <c r="AC77" s="486"/>
      <c r="AD77" s="488" t="s">
        <v>642</v>
      </c>
      <c r="AE77" s="488"/>
      <c r="AF77" s="488"/>
      <c r="AQ77" s="194">
        <v>98440</v>
      </c>
    </row>
    <row r="78" spans="2:43" ht="21" customHeight="1" thickTop="1" x14ac:dyDescent="0.25">
      <c r="B78" s="503" t="s">
        <v>37</v>
      </c>
      <c r="C78" s="485">
        <f>'ANNEXURE I'!L24</f>
        <v>0</v>
      </c>
      <c r="I78" s="644" t="s">
        <v>224</v>
      </c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646"/>
      <c r="U78" s="186"/>
      <c r="V78" s="191"/>
      <c r="W78" s="191"/>
      <c r="X78" s="194"/>
      <c r="Z78" s="320">
        <v>9600</v>
      </c>
      <c r="AB78" s="486"/>
      <c r="AC78" s="486"/>
      <c r="AD78" s="488" t="s">
        <v>643</v>
      </c>
      <c r="AE78" s="488"/>
      <c r="AF78" s="488"/>
      <c r="AQ78" s="194">
        <v>100770</v>
      </c>
    </row>
    <row r="79" spans="2:43" ht="21" customHeight="1" x14ac:dyDescent="0.25">
      <c r="B79" s="504" t="s">
        <v>38</v>
      </c>
      <c r="C79" s="450"/>
      <c r="I79" s="647"/>
      <c r="J79" s="648"/>
      <c r="K79" s="648"/>
      <c r="L79" s="648"/>
      <c r="M79" s="648"/>
      <c r="N79" s="648"/>
      <c r="O79" s="648"/>
      <c r="P79" s="648"/>
      <c r="Q79" s="648"/>
      <c r="R79" s="648"/>
      <c r="S79" s="648"/>
      <c r="T79" s="649"/>
      <c r="U79" s="187"/>
      <c r="V79" s="280"/>
      <c r="W79" s="280"/>
      <c r="X79" s="194"/>
      <c r="Z79" s="320">
        <v>9700</v>
      </c>
      <c r="AB79" s="486"/>
      <c r="AC79" s="486"/>
      <c r="AD79" s="488" t="s">
        <v>56</v>
      </c>
      <c r="AE79" s="488"/>
      <c r="AF79" s="488"/>
      <c r="AQ79" s="194">
        <v>103290</v>
      </c>
    </row>
    <row r="80" spans="2:43" ht="21" customHeight="1" x14ac:dyDescent="0.25">
      <c r="B80" s="504" t="s">
        <v>39</v>
      </c>
      <c r="C80" s="450"/>
      <c r="I80" s="650" t="s">
        <v>646</v>
      </c>
      <c r="J80" s="651"/>
      <c r="K80" s="651"/>
      <c r="L80" s="651"/>
      <c r="M80" s="651"/>
      <c r="N80" s="651"/>
      <c r="O80" s="651"/>
      <c r="P80" s="651"/>
      <c r="Q80" s="651"/>
      <c r="R80" s="651"/>
      <c r="S80" s="651"/>
      <c r="T80" s="652"/>
      <c r="U80" s="188"/>
      <c r="V80" s="281"/>
      <c r="W80" s="281"/>
      <c r="X80" s="195"/>
      <c r="Z80" s="320">
        <v>9800</v>
      </c>
      <c r="AB80" s="486"/>
      <c r="AC80" s="486"/>
      <c r="AD80" s="488" t="s">
        <v>58</v>
      </c>
      <c r="AE80" s="488"/>
      <c r="AF80" s="488"/>
      <c r="AQ80" s="261">
        <v>105810</v>
      </c>
    </row>
    <row r="81" spans="2:43" ht="21" customHeight="1" x14ac:dyDescent="0.25">
      <c r="B81" s="504" t="s">
        <v>40</v>
      </c>
      <c r="C81" s="450"/>
      <c r="I81" s="650"/>
      <c r="J81" s="651"/>
      <c r="K81" s="651"/>
      <c r="L81" s="651"/>
      <c r="M81" s="651"/>
      <c r="N81" s="651"/>
      <c r="O81" s="651"/>
      <c r="P81" s="651"/>
      <c r="Q81" s="651"/>
      <c r="R81" s="651"/>
      <c r="S81" s="651"/>
      <c r="T81" s="652"/>
      <c r="U81" s="189"/>
      <c r="V81" s="282"/>
      <c r="W81" s="282"/>
      <c r="X81" s="195"/>
      <c r="Z81" s="320">
        <v>9900</v>
      </c>
      <c r="AB81" s="489"/>
      <c r="AC81" s="489"/>
      <c r="AD81" s="490"/>
      <c r="AE81" s="490"/>
      <c r="AF81" s="490"/>
      <c r="AJ81" s="239"/>
      <c r="AQ81" s="261">
        <v>108330</v>
      </c>
    </row>
    <row r="82" spans="2:43" ht="21" customHeight="1" x14ac:dyDescent="0.25">
      <c r="B82" s="505" t="s">
        <v>41</v>
      </c>
      <c r="C82" s="450"/>
      <c r="I82" s="650"/>
      <c r="J82" s="651"/>
      <c r="K82" s="651"/>
      <c r="L82" s="651"/>
      <c r="M82" s="651"/>
      <c r="N82" s="651"/>
      <c r="O82" s="651"/>
      <c r="P82" s="651"/>
      <c r="Q82" s="651"/>
      <c r="R82" s="651"/>
      <c r="S82" s="651"/>
      <c r="T82" s="652"/>
      <c r="U82" s="190"/>
      <c r="V82" s="283"/>
      <c r="W82" s="283"/>
      <c r="X82" s="195"/>
      <c r="Z82" s="320">
        <v>10000</v>
      </c>
      <c r="AB82" s="491"/>
      <c r="AC82" s="491"/>
      <c r="AD82" s="492"/>
      <c r="AE82" s="492"/>
      <c r="AF82" s="492"/>
      <c r="AQ82" s="261">
        <v>110850</v>
      </c>
    </row>
    <row r="83" spans="2:43" ht="21" customHeight="1" x14ac:dyDescent="0.25">
      <c r="B83" s="505" t="s">
        <v>42</v>
      </c>
      <c r="C83" s="450"/>
      <c r="I83" s="650"/>
      <c r="J83" s="651"/>
      <c r="K83" s="651"/>
      <c r="L83" s="651"/>
      <c r="M83" s="651"/>
      <c r="N83" s="651"/>
      <c r="O83" s="651"/>
      <c r="P83" s="651"/>
      <c r="Q83" s="651"/>
      <c r="R83" s="651"/>
      <c r="S83" s="651"/>
      <c r="T83" s="652"/>
      <c r="U83" s="190"/>
      <c r="V83" s="283"/>
      <c r="W83" s="283"/>
      <c r="X83" s="195"/>
      <c r="Z83" s="333"/>
      <c r="AB83" s="491"/>
      <c r="AC83" s="491"/>
      <c r="AD83" s="491"/>
      <c r="AE83" s="491"/>
      <c r="AF83" s="493"/>
      <c r="AG83" s="487"/>
      <c r="AQ83" s="195"/>
    </row>
    <row r="84" spans="2:43" ht="21" customHeight="1" x14ac:dyDescent="0.25">
      <c r="B84" s="506" t="s">
        <v>43</v>
      </c>
      <c r="C84" s="451"/>
      <c r="I84" s="650"/>
      <c r="J84" s="651"/>
      <c r="K84" s="651"/>
      <c r="L84" s="651"/>
      <c r="M84" s="651"/>
      <c r="N84" s="651"/>
      <c r="O84" s="651"/>
      <c r="P84" s="651"/>
      <c r="Q84" s="651"/>
      <c r="R84" s="651"/>
      <c r="S84" s="651"/>
      <c r="T84" s="652"/>
      <c r="AB84" s="491"/>
      <c r="AC84" s="491"/>
      <c r="AD84" s="491"/>
      <c r="AE84" s="491"/>
      <c r="AF84" s="491"/>
    </row>
    <row r="85" spans="2:43" ht="21" customHeight="1" x14ac:dyDescent="0.25">
      <c r="B85" s="506" t="s">
        <v>44</v>
      </c>
      <c r="C85" s="451"/>
      <c r="I85" s="650"/>
      <c r="J85" s="651"/>
      <c r="K85" s="651"/>
      <c r="L85" s="651"/>
      <c r="M85" s="651"/>
      <c r="N85" s="651"/>
      <c r="O85" s="651"/>
      <c r="P85" s="651"/>
      <c r="Q85" s="651"/>
      <c r="R85" s="651"/>
      <c r="S85" s="651"/>
      <c r="T85" s="652"/>
      <c r="U85" s="183"/>
      <c r="V85" s="196"/>
      <c r="W85" s="196"/>
    </row>
    <row r="86" spans="2:43" ht="21" customHeight="1" x14ac:dyDescent="0.25">
      <c r="B86" s="507" t="s">
        <v>259</v>
      </c>
      <c r="C86" s="451"/>
      <c r="I86" s="650"/>
      <c r="J86" s="651"/>
      <c r="K86" s="651"/>
      <c r="L86" s="651"/>
      <c r="M86" s="651"/>
      <c r="N86" s="651"/>
      <c r="O86" s="651"/>
      <c r="P86" s="651"/>
      <c r="Q86" s="651"/>
      <c r="R86" s="651"/>
      <c r="S86" s="651"/>
      <c r="T86" s="652"/>
      <c r="U86" s="183"/>
      <c r="V86" s="196"/>
      <c r="W86" s="196"/>
    </row>
    <row r="87" spans="2:43" ht="21" customHeight="1" x14ac:dyDescent="0.2">
      <c r="B87" s="680" t="s">
        <v>636</v>
      </c>
      <c r="C87" s="680"/>
      <c r="E87" s="550"/>
      <c r="F87" s="566"/>
      <c r="G87" s="567"/>
      <c r="H87" s="581"/>
      <c r="I87" s="650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2"/>
      <c r="U87" s="184"/>
      <c r="V87" s="197"/>
      <c r="W87" s="197"/>
    </row>
    <row r="88" spans="2:43" ht="21" customHeight="1" thickBot="1" x14ac:dyDescent="0.25">
      <c r="B88" s="680"/>
      <c r="C88" s="680"/>
      <c r="E88" s="550"/>
      <c r="F88" s="566"/>
      <c r="G88" s="567"/>
      <c r="H88" s="581"/>
      <c r="I88" s="653"/>
      <c r="J88" s="654"/>
      <c r="K88" s="654"/>
      <c r="L88" s="654"/>
      <c r="M88" s="654"/>
      <c r="N88" s="654"/>
      <c r="O88" s="654"/>
      <c r="P88" s="654"/>
      <c r="Q88" s="654"/>
      <c r="R88" s="654"/>
      <c r="S88" s="654"/>
      <c r="T88" s="655"/>
      <c r="U88" s="184"/>
      <c r="V88" s="197"/>
      <c r="W88" s="197"/>
    </row>
    <row r="89" spans="2:43" ht="21" customHeight="1" thickTop="1" thickBot="1" x14ac:dyDescent="0.25">
      <c r="B89" s="680"/>
      <c r="C89" s="680"/>
      <c r="I89" s="509"/>
      <c r="J89" s="509"/>
      <c r="K89" s="509"/>
      <c r="L89" s="509"/>
      <c r="M89" s="509"/>
      <c r="N89" s="509"/>
      <c r="O89" s="509"/>
      <c r="P89" s="509"/>
      <c r="Q89" s="509"/>
      <c r="R89" s="509"/>
      <c r="S89" s="509"/>
      <c r="T89" s="509"/>
      <c r="U89" s="184"/>
      <c r="V89" s="197"/>
      <c r="W89" s="197"/>
    </row>
    <row r="90" spans="2:43" ht="21" customHeight="1" thickTop="1" x14ac:dyDescent="0.2">
      <c r="B90" s="494" t="str">
        <f>CONCATENATE("Rent paid by you  (Suggested Rent @ Rs.",CEILING(('ANNEXURE II'!H9+'ANNEXURE II'!G9)/12,100),")")</f>
        <v>Rent paid by you  (Suggested Rent @ Rs.0)</v>
      </c>
      <c r="C90" s="527"/>
      <c r="H90" s="582"/>
      <c r="I90" s="668" t="str">
        <f>IF(AND(C90&gt;0,C90&lt;=3000),("మీరు RENT RECEIPT జతపరచాల్సిన అవసరం లేదు.  
కింది  పట్టికను మీరు పూరించాల్సిన అవసరం లేదు"),
 IF(AND(C90&gt;3000, C90&lt;=8333),("మీరు RENT RECEIPT జతపరచాలి.
OWNER PAN అవసరం లేదు."),
IF(AND(C90&gt;8333),("మీరు RENT RECEIPT తో పాటు
OWNER PAN కూడా జతపరచాలి.
"),IF(AND(C90=0),
 (" మీరు సొంత ఇంటిని కలిగి ఉన్నట్టున్నారు.సంతోషం.
మీరు RENT RECEIPT జతపరచాల్సిన అవసరం లేదు.")))))</f>
        <v xml:space="preserve"> మీరు సొంత ఇంటిని కలిగి ఉన్నట్టున్నారు.సంతోషం.
మీరు RENT RECEIPT జతపరచాల్సిన అవసరం లేదు.</v>
      </c>
      <c r="J90" s="669"/>
      <c r="K90" s="669"/>
      <c r="L90" s="669"/>
      <c r="M90" s="670"/>
      <c r="N90" s="442"/>
      <c r="O90" s="656" t="str">
        <f>IF(AND(C99="NO TAX"),CONCATENATE(UPPER(B2),"    గారు,
2017-18 ఆర్థిక సంవత్సరానికి గాను ,
మీరు భారత ప్రభుత్వానికి  చెల్లించాల్సిన పన్ను శూన్యం."),
IF(AND(C99&lt;0),CONCATENATE(UPPER(B2),"    గారు,
2017-18 ఆర్థిక సంవత్సరానికి గాను ,
మీరు భారత ప్రభుత్వానికి  అదనంగా  పన్ను చెల్లించారు .
మీరు  త్వరలోనే ప్రభుత్వం నుండి  ",-(C99),"  రూపాయలు
తిరిగి అందుకుంటారు ."),
CONCATENATE(UPPER(B2),"    గారు,
2017-18 ఆర్థిక సంవత్సరానికి గాను ,
మీరు భారత ప్రభుత్వానికి చెల్లించాల్సిన పన్ను   ",C99, "    రూపాయలు.",)))</f>
        <v xml:space="preserve">    గారు,
2017-18 ఆర్థిక సంవత్సరానికి గాను ,
మీరు భారత ప్రభుత్వానికి  చెల్లించాల్సిన పన్ను శూన్యం.</v>
      </c>
      <c r="P90" s="657"/>
      <c r="Q90" s="657"/>
      <c r="R90" s="657"/>
      <c r="S90" s="657"/>
      <c r="T90" s="658"/>
      <c r="U90" s="184"/>
      <c r="V90" s="197"/>
      <c r="W90" s="197"/>
    </row>
    <row r="91" spans="2:43" ht="21" customHeight="1" x14ac:dyDescent="0.25">
      <c r="B91" s="495" t="s">
        <v>660</v>
      </c>
      <c r="C91" s="450"/>
      <c r="H91" s="583"/>
      <c r="I91" s="671"/>
      <c r="J91" s="672"/>
      <c r="K91" s="672"/>
      <c r="L91" s="672"/>
      <c r="M91" s="673"/>
      <c r="N91" s="442"/>
      <c r="O91" s="659"/>
      <c r="P91" s="660"/>
      <c r="Q91" s="660"/>
      <c r="R91" s="660"/>
      <c r="S91" s="660"/>
      <c r="T91" s="661"/>
      <c r="U91" s="184"/>
      <c r="V91" s="197"/>
      <c r="W91" s="197"/>
    </row>
    <row r="92" spans="2:43" ht="21" customHeight="1" x14ac:dyDescent="0.25">
      <c r="B92" s="495" t="s">
        <v>45</v>
      </c>
      <c r="C92" s="450"/>
      <c r="H92" s="584"/>
      <c r="I92" s="674"/>
      <c r="J92" s="675"/>
      <c r="K92" s="675"/>
      <c r="L92" s="675"/>
      <c r="M92" s="676"/>
      <c r="N92" s="442"/>
      <c r="O92" s="659"/>
      <c r="P92" s="660"/>
      <c r="Q92" s="660"/>
      <c r="R92" s="660"/>
      <c r="S92" s="660"/>
      <c r="T92" s="661"/>
      <c r="U92" s="184"/>
      <c r="V92" s="197"/>
      <c r="W92" s="197"/>
    </row>
    <row r="93" spans="2:43" ht="21" customHeight="1" x14ac:dyDescent="0.25">
      <c r="B93" s="495" t="s">
        <v>46</v>
      </c>
      <c r="C93" s="450"/>
      <c r="H93" s="565"/>
      <c r="I93" s="678" t="s">
        <v>310</v>
      </c>
      <c r="J93" s="679"/>
      <c r="K93" s="685"/>
      <c r="L93" s="686"/>
      <c r="M93" s="687"/>
      <c r="N93" s="442"/>
      <c r="O93" s="659"/>
      <c r="P93" s="660"/>
      <c r="Q93" s="660"/>
      <c r="R93" s="660"/>
      <c r="S93" s="660"/>
      <c r="T93" s="661"/>
      <c r="U93" s="184"/>
      <c r="V93" s="197"/>
      <c r="W93" s="197"/>
    </row>
    <row r="94" spans="2:43" ht="21" customHeight="1" x14ac:dyDescent="0.25">
      <c r="B94" s="495" t="s">
        <v>47</v>
      </c>
      <c r="C94" s="450"/>
      <c r="H94" s="565"/>
      <c r="I94" s="678" t="s">
        <v>311</v>
      </c>
      <c r="J94" s="679"/>
      <c r="K94" s="688"/>
      <c r="L94" s="689"/>
      <c r="M94" s="690"/>
      <c r="N94" s="442"/>
      <c r="O94" s="659"/>
      <c r="P94" s="660"/>
      <c r="Q94" s="660"/>
      <c r="R94" s="660"/>
      <c r="S94" s="660"/>
      <c r="T94" s="661"/>
      <c r="U94" s="184"/>
      <c r="V94" s="197"/>
      <c r="W94" s="197"/>
    </row>
    <row r="95" spans="2:43" ht="21" customHeight="1" x14ac:dyDescent="0.25">
      <c r="B95" s="495" t="s">
        <v>48</v>
      </c>
      <c r="C95" s="450"/>
      <c r="H95" s="545"/>
      <c r="I95" s="677" t="s">
        <v>292</v>
      </c>
      <c r="J95" s="677"/>
      <c r="K95" s="691"/>
      <c r="L95" s="691"/>
      <c r="M95" s="691"/>
      <c r="N95" s="442"/>
      <c r="O95" s="659"/>
      <c r="P95" s="660"/>
      <c r="Q95" s="660"/>
      <c r="R95" s="660"/>
      <c r="S95" s="660"/>
      <c r="T95" s="661"/>
      <c r="U95" s="184"/>
      <c r="V95" s="197"/>
      <c r="W95" s="197"/>
    </row>
    <row r="96" spans="2:43" ht="21" customHeight="1" x14ac:dyDescent="0.25">
      <c r="B96" s="495" t="s">
        <v>49</v>
      </c>
      <c r="C96" s="450"/>
      <c r="H96" s="545"/>
      <c r="I96" s="677" t="s">
        <v>17</v>
      </c>
      <c r="J96" s="677"/>
      <c r="K96" s="691"/>
      <c r="L96" s="691"/>
      <c r="M96" s="691"/>
      <c r="N96" s="442"/>
      <c r="O96" s="659"/>
      <c r="P96" s="660"/>
      <c r="Q96" s="660"/>
      <c r="R96" s="660"/>
      <c r="S96" s="660"/>
      <c r="T96" s="661"/>
      <c r="U96" s="184"/>
      <c r="V96" s="197"/>
      <c r="W96" s="197"/>
    </row>
    <row r="97" spans="2:23" ht="21" customHeight="1" x14ac:dyDescent="0.25">
      <c r="B97" s="496" t="s">
        <v>288</v>
      </c>
      <c r="C97" s="450"/>
      <c r="H97" s="545"/>
      <c r="I97" s="677" t="s">
        <v>18</v>
      </c>
      <c r="J97" s="677"/>
      <c r="K97" s="691"/>
      <c r="L97" s="691"/>
      <c r="M97" s="691"/>
      <c r="N97" s="443"/>
      <c r="O97" s="632" t="str">
        <f>IF(AND(C99="NO TAX"),("మీరు చక్కటి ఆర్థిక ప్రణాళికను
కలిగి ఉన్నందుకు సంతోషించండి."),
IF(AND(C99&lt;0),("భారత ప్రభుత్వానికి  
పన్ను చెల్లించినందుకు గర్వించండి."),
("భారత ప్రభుత్వానికి  
పన్ను చెల్లిస్తున్నందుకు గర్వించండి.")))</f>
        <v>మీరు చక్కటి ఆర్థిక ప్రణాళికను
కలిగి ఉన్నందుకు సంతోషించండి.</v>
      </c>
      <c r="P97" s="633"/>
      <c r="Q97" s="633"/>
      <c r="R97" s="633"/>
      <c r="S97" s="633"/>
      <c r="T97" s="634"/>
      <c r="U97" s="184"/>
      <c r="V97" s="197"/>
      <c r="W97" s="197"/>
    </row>
    <row r="98" spans="2:23" ht="21" customHeight="1" x14ac:dyDescent="0.2">
      <c r="B98" s="448" t="s">
        <v>393</v>
      </c>
      <c r="C98" s="452">
        <f>'ANNEXURE I'!U24</f>
        <v>0</v>
      </c>
      <c r="H98" s="545"/>
      <c r="I98" s="677" t="s">
        <v>293</v>
      </c>
      <c r="J98" s="677"/>
      <c r="K98" s="691"/>
      <c r="L98" s="691"/>
      <c r="M98" s="691"/>
      <c r="N98" s="442"/>
      <c r="O98" s="632"/>
      <c r="P98" s="633"/>
      <c r="Q98" s="633"/>
      <c r="R98" s="633"/>
      <c r="S98" s="633"/>
      <c r="T98" s="634"/>
    </row>
    <row r="99" spans="2:23" ht="21" customHeight="1" thickBot="1" x14ac:dyDescent="0.25">
      <c r="B99" s="449" t="s">
        <v>50</v>
      </c>
      <c r="C99" s="453" t="str">
        <f>'ANNEXURE II'!I61</f>
        <v>NO TAX</v>
      </c>
      <c r="H99" s="545"/>
      <c r="I99" s="677" t="s">
        <v>19</v>
      </c>
      <c r="J99" s="677"/>
      <c r="K99" s="692" t="str">
        <f>IF(B10="","",B10)</f>
        <v/>
      </c>
      <c r="L99" s="692"/>
      <c r="M99" s="692"/>
      <c r="N99" s="442"/>
      <c r="O99" s="635"/>
      <c r="P99" s="636"/>
      <c r="Q99" s="636"/>
      <c r="R99" s="636"/>
      <c r="S99" s="636"/>
      <c r="T99" s="637"/>
    </row>
    <row r="100" spans="2:23" ht="21.95" customHeight="1" thickTop="1" thickBot="1" x14ac:dyDescent="0.3">
      <c r="N100" s="130"/>
      <c r="U100" s="130"/>
      <c r="V100" s="198"/>
      <c r="W100" s="198"/>
    </row>
    <row r="101" spans="2:23" ht="21.95" customHeight="1" thickTop="1" x14ac:dyDescent="0.2">
      <c r="B101" s="681" t="str">
        <f xml:space="preserve"> CONCATENATE(B2, "  GAARU  ,
 PLEASE CHECK ALL SHEETS AND TAKE A PRINT. ")</f>
        <v xml:space="preserve">  GAARU  ,
 PLEASE CHECK ALL SHEETS AND TAKE A PRINT. </v>
      </c>
      <c r="C101" s="682"/>
      <c r="I101" s="662" t="s">
        <v>666</v>
      </c>
      <c r="J101" s="663"/>
      <c r="K101" s="663"/>
      <c r="L101" s="663"/>
      <c r="M101" s="664"/>
      <c r="N101" s="130"/>
      <c r="O101" s="638" t="s">
        <v>229</v>
      </c>
      <c r="P101" s="639"/>
      <c r="Q101" s="639"/>
      <c r="R101" s="639"/>
      <c r="S101" s="639"/>
      <c r="T101" s="640"/>
      <c r="U101" s="130"/>
      <c r="V101" s="198"/>
      <c r="W101" s="198"/>
    </row>
    <row r="102" spans="2:23" ht="21.95" customHeight="1" thickBot="1" x14ac:dyDescent="0.25">
      <c r="B102" s="683"/>
      <c r="C102" s="684"/>
      <c r="I102" s="665"/>
      <c r="J102" s="666"/>
      <c r="K102" s="666"/>
      <c r="L102" s="666"/>
      <c r="M102" s="667"/>
      <c r="N102" s="442"/>
      <c r="O102" s="641" t="s">
        <v>667</v>
      </c>
      <c r="P102" s="642"/>
      <c r="Q102" s="642"/>
      <c r="R102" s="642"/>
      <c r="S102" s="642"/>
      <c r="T102" s="643"/>
    </row>
    <row r="103" spans="2:23" ht="21.95" customHeight="1" thickTop="1" x14ac:dyDescent="0.25"/>
    <row r="104" spans="2:23" ht="21.95" customHeight="1" x14ac:dyDescent="0.25"/>
    <row r="105" spans="2:23" ht="21" customHeight="1" x14ac:dyDescent="0.25"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94"/>
      <c r="W105" s="194"/>
    </row>
    <row r="106" spans="2:23" ht="21" customHeight="1" x14ac:dyDescent="0.25">
      <c r="E106" s="546"/>
      <c r="F106" s="547"/>
      <c r="G106" s="546"/>
      <c r="H106" s="585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94"/>
      <c r="W106" s="194"/>
    </row>
    <row r="107" spans="2:23" ht="21" customHeight="1" x14ac:dyDescent="0.25">
      <c r="E107" s="568"/>
      <c r="F107" s="569"/>
      <c r="G107" s="570"/>
      <c r="H107" s="586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94"/>
      <c r="W107" s="194"/>
    </row>
    <row r="108" spans="2:23" ht="21" customHeight="1" x14ac:dyDescent="0.25"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94"/>
      <c r="W108" s="194"/>
    </row>
    <row r="109" spans="2:23" ht="21" customHeight="1" x14ac:dyDescent="0.25"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94"/>
      <c r="W109" s="194"/>
    </row>
    <row r="110" spans="2:23" ht="21" customHeight="1" x14ac:dyDescent="0.25"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98"/>
      <c r="W110" s="198"/>
    </row>
    <row r="111" spans="2:23" ht="20.100000000000001" customHeight="1" x14ac:dyDescent="0.25"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98"/>
      <c r="W111" s="198"/>
    </row>
    <row r="112" spans="2:23" ht="21" customHeight="1" x14ac:dyDescent="0.25"/>
    <row r="113" spans="2:43" ht="21" customHeight="1" x14ac:dyDescent="0.25"/>
    <row r="114" spans="2:43" ht="21" customHeight="1" x14ac:dyDescent="0.25">
      <c r="I114" s="134"/>
      <c r="J114" s="134"/>
      <c r="K114" s="134"/>
      <c r="L114" s="135"/>
      <c r="M114" s="135"/>
      <c r="N114" s="135"/>
      <c r="O114" s="135"/>
      <c r="P114" s="135"/>
      <c r="Q114" s="135"/>
      <c r="R114" s="136"/>
      <c r="S114" s="136"/>
      <c r="T114" s="136"/>
      <c r="U114" s="136"/>
      <c r="V114" s="199"/>
      <c r="W114" s="199"/>
    </row>
    <row r="115" spans="2:43" ht="21" customHeight="1" x14ac:dyDescent="0.25">
      <c r="I115" s="134"/>
      <c r="J115" s="134"/>
      <c r="K115" s="134"/>
      <c r="L115" s="135"/>
      <c r="M115" s="135"/>
      <c r="N115" s="135"/>
      <c r="O115" s="135"/>
      <c r="P115" s="135"/>
      <c r="Q115" s="135"/>
      <c r="R115" s="136"/>
      <c r="S115" s="136"/>
      <c r="T115" s="136"/>
      <c r="U115" s="136"/>
      <c r="V115" s="199"/>
      <c r="W115" s="199"/>
    </row>
    <row r="116" spans="2:43" ht="21" customHeight="1" x14ac:dyDescent="0.25"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200"/>
      <c r="W116" s="200"/>
      <c r="Z116" s="232"/>
      <c r="AK116" s="239"/>
      <c r="AL116" s="232"/>
      <c r="AM116" s="240"/>
      <c r="AQ116" s="239"/>
    </row>
    <row r="117" spans="2:43" ht="21" customHeight="1" x14ac:dyDescent="0.25"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200"/>
      <c r="W117" s="200"/>
      <c r="Z117" s="232"/>
      <c r="AK117" s="239"/>
      <c r="AL117" s="232"/>
      <c r="AM117" s="240"/>
      <c r="AQ117" s="239"/>
    </row>
    <row r="118" spans="2:43" ht="21" customHeight="1" x14ac:dyDescent="0.25"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200"/>
      <c r="W118" s="200"/>
    </row>
    <row r="119" spans="2:43" ht="21" customHeight="1" x14ac:dyDescent="0.2">
      <c r="B119" s="438"/>
      <c r="C119" s="438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284"/>
      <c r="W119" s="284"/>
    </row>
    <row r="120" spans="2:43" ht="20.100000000000001" customHeight="1" x14ac:dyDescent="0.2">
      <c r="B120" s="438"/>
      <c r="C120" s="438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284"/>
      <c r="W120" s="284"/>
    </row>
    <row r="121" spans="2:43" ht="20.100000000000001" customHeight="1" x14ac:dyDescent="0.2">
      <c r="B121" s="438"/>
      <c r="C121" s="438"/>
    </row>
    <row r="122" spans="2:43" ht="20.100000000000001" customHeight="1" x14ac:dyDescent="0.2">
      <c r="B122" s="438"/>
      <c r="C122" s="438"/>
    </row>
    <row r="123" spans="2:43" ht="20.100000000000001" customHeight="1" x14ac:dyDescent="0.2">
      <c r="B123" s="438"/>
      <c r="C123" s="438"/>
    </row>
    <row r="124" spans="2:43" ht="20.100000000000001" customHeight="1" x14ac:dyDescent="0.2">
      <c r="B124" s="438"/>
      <c r="C124" s="438"/>
    </row>
    <row r="125" spans="2:43" ht="20.100000000000001" customHeight="1" x14ac:dyDescent="0.2">
      <c r="B125" s="439"/>
      <c r="C125" s="439"/>
    </row>
    <row r="126" spans="2:43" ht="20.100000000000001" customHeight="1" x14ac:dyDescent="0.2">
      <c r="B126" s="439"/>
      <c r="C126" s="439"/>
    </row>
    <row r="127" spans="2:43" ht="20.100000000000001" customHeight="1" x14ac:dyDescent="0.2">
      <c r="B127" s="439"/>
      <c r="C127" s="439"/>
    </row>
    <row r="128" spans="2:43" ht="20.100000000000001" customHeight="1" x14ac:dyDescent="0.25"/>
    <row r="129" spans="2:3" ht="20.100000000000001" customHeight="1" x14ac:dyDescent="0.25"/>
    <row r="130" spans="2:3" ht="20.100000000000001" customHeight="1" x14ac:dyDescent="0.25"/>
    <row r="131" spans="2:3" ht="18.75" customHeight="1" x14ac:dyDescent="0.25"/>
    <row r="132" spans="2:3" ht="21" customHeight="1" x14ac:dyDescent="0.25"/>
    <row r="133" spans="2:3" ht="21" customHeight="1" x14ac:dyDescent="0.25"/>
    <row r="134" spans="2:3" ht="21" customHeight="1" x14ac:dyDescent="0.25"/>
    <row r="135" spans="2:3" ht="21" customHeight="1" x14ac:dyDescent="0.25"/>
    <row r="136" spans="2:3" ht="21" customHeight="1" x14ac:dyDescent="0.25"/>
    <row r="137" spans="2:3" ht="21" customHeight="1" x14ac:dyDescent="0.25"/>
    <row r="138" spans="2:3" ht="21" customHeight="1" x14ac:dyDescent="0.25"/>
    <row r="139" spans="2:3" ht="21" customHeight="1" x14ac:dyDescent="0.25"/>
    <row r="140" spans="2:3" ht="21" customHeight="1" x14ac:dyDescent="0.25"/>
    <row r="141" spans="2:3" ht="15.75" customHeight="1" x14ac:dyDescent="0.2">
      <c r="B141" s="140"/>
      <c r="C141" s="140"/>
    </row>
  </sheetData>
  <sheetProtection algorithmName="SHA-512" hashValue="Vm3gmUQBlPlOVzEGKnDMMiJdQzlYmpmi2Mbr45XBibwLksezo2CwQlGYbkzo56/Fwr2KpM/Ypk1xSlFAF2jwlA==" saltValue="7U+jEvPXTnHWdpdJhr85aw==" spinCount="100000" sheet="1" objects="1" scenarios="1" selectLockedCells="1"/>
  <sortState ref="AM55:AN68">
    <sortCondition ref="AM55"/>
  </sortState>
  <mergeCells count="93">
    <mergeCell ref="R14:T14"/>
    <mergeCell ref="J14:L14"/>
    <mergeCell ref="I19:J19"/>
    <mergeCell ref="K21:M21"/>
    <mergeCell ref="K20:M20"/>
    <mergeCell ref="I40:T44"/>
    <mergeCell ref="I39:T39"/>
    <mergeCell ref="I15:T15"/>
    <mergeCell ref="K23:M23"/>
    <mergeCell ref="K22:M22"/>
    <mergeCell ref="I26:T26"/>
    <mergeCell ref="I27:T29"/>
    <mergeCell ref="I31:T33"/>
    <mergeCell ref="I20:J23"/>
    <mergeCell ref="Q24:T25"/>
    <mergeCell ref="Q19:T23"/>
    <mergeCell ref="I16:T18"/>
    <mergeCell ref="I73:T73"/>
    <mergeCell ref="I74:T74"/>
    <mergeCell ref="I75:T76"/>
    <mergeCell ref="O52:P52"/>
    <mergeCell ref="I52:J52"/>
    <mergeCell ref="K52:L52"/>
    <mergeCell ref="Q46:T52"/>
    <mergeCell ref="I69:T72"/>
    <mergeCell ref="I65:T68"/>
    <mergeCell ref="O46:P48"/>
    <mergeCell ref="J60:T63"/>
    <mergeCell ref="B14:B15"/>
    <mergeCell ref="C14:C15"/>
    <mergeCell ref="I49:J49"/>
    <mergeCell ref="O51:P51"/>
    <mergeCell ref="M46:N48"/>
    <mergeCell ref="K46:L48"/>
    <mergeCell ref="K51:L51"/>
    <mergeCell ref="I51:J51"/>
    <mergeCell ref="I46:J48"/>
    <mergeCell ref="B18:C18"/>
    <mergeCell ref="B16:B17"/>
    <mergeCell ref="C16:C17"/>
    <mergeCell ref="K49:L49"/>
    <mergeCell ref="I50:J50"/>
    <mergeCell ref="B27:C28"/>
    <mergeCell ref="N14:P14"/>
    <mergeCell ref="AN45:AO45"/>
    <mergeCell ref="B87:C89"/>
    <mergeCell ref="B101:C102"/>
    <mergeCell ref="K93:M93"/>
    <mergeCell ref="I99:J99"/>
    <mergeCell ref="I95:J95"/>
    <mergeCell ref="K94:M94"/>
    <mergeCell ref="K95:M95"/>
    <mergeCell ref="K96:M96"/>
    <mergeCell ref="K97:M97"/>
    <mergeCell ref="K98:M98"/>
    <mergeCell ref="K99:M99"/>
    <mergeCell ref="K50:L50"/>
    <mergeCell ref="O50:P50"/>
    <mergeCell ref="I60:I63"/>
    <mergeCell ref="O49:P49"/>
    <mergeCell ref="O97:T99"/>
    <mergeCell ref="O101:T101"/>
    <mergeCell ref="O102:T102"/>
    <mergeCell ref="I78:T79"/>
    <mergeCell ref="I80:T88"/>
    <mergeCell ref="O90:T96"/>
    <mergeCell ref="I101:M102"/>
    <mergeCell ref="I90:M92"/>
    <mergeCell ref="I96:J96"/>
    <mergeCell ref="I97:J97"/>
    <mergeCell ref="I98:J98"/>
    <mergeCell ref="I94:J94"/>
    <mergeCell ref="I93:J93"/>
    <mergeCell ref="AH17:AI17"/>
    <mergeCell ref="AH18:AI18"/>
    <mergeCell ref="AG20:AH20"/>
    <mergeCell ref="AD17:AE17"/>
    <mergeCell ref="AD18:AE18"/>
    <mergeCell ref="AC20:AD20"/>
    <mergeCell ref="AN42:AO42"/>
    <mergeCell ref="AN43:AO43"/>
    <mergeCell ref="AN44:AO44"/>
    <mergeCell ref="AN37:AO37"/>
    <mergeCell ref="AN38:AO38"/>
    <mergeCell ref="AN39:AO39"/>
    <mergeCell ref="AN40:AO40"/>
    <mergeCell ref="AN41:AO41"/>
    <mergeCell ref="AN32:AO32"/>
    <mergeCell ref="AN33:AO33"/>
    <mergeCell ref="AN34:AO34"/>
    <mergeCell ref="AN35:AO35"/>
    <mergeCell ref="I35:T37"/>
    <mergeCell ref="AN36:AO36"/>
  </mergeCells>
  <conditionalFormatting sqref="B18:C18">
    <cfRule type="expression" dxfId="44" priority="137">
      <formula>$C$19&gt;0</formula>
    </cfRule>
  </conditionalFormatting>
  <conditionalFormatting sqref="V1:AQ31 AP32:AQ45 V32:AN45 V84:AQ1048576 AG83:AQ83 V46:AQ72 AD73:AD80 AC82:AD82 AJ73:AQ82 V73:Z83 AB81">
    <cfRule type="expression" dxfId="43" priority="134">
      <formula>$E$1=0</formula>
    </cfRule>
  </conditionalFormatting>
  <conditionalFormatting sqref="C1">
    <cfRule type="expression" dxfId="42" priority="60">
      <formula>$B$2=""</formula>
    </cfRule>
    <cfRule type="cellIs" dxfId="41" priority="61" operator="greaterThan">
      <formula>10000</formula>
    </cfRule>
    <cfRule type="cellIs" dxfId="40" priority="62" operator="between">
      <formula>9501</formula>
      <formula>10000</formula>
    </cfRule>
    <cfRule type="cellIs" dxfId="39" priority="63" operator="between">
      <formula>9001</formula>
      <formula>9500</formula>
    </cfRule>
    <cfRule type="cellIs" dxfId="38" priority="64" operator="between">
      <formula>8501</formula>
      <formula>9000</formula>
    </cfRule>
    <cfRule type="cellIs" dxfId="37" priority="65" operator="between">
      <formula>8001</formula>
      <formula>8500</formula>
    </cfRule>
    <cfRule type="cellIs" dxfId="36" priority="66" operator="between">
      <formula>7501</formula>
      <formula>8000</formula>
    </cfRule>
    <cfRule type="cellIs" dxfId="35" priority="67" operator="between">
      <formula>7001</formula>
      <formula>7500</formula>
    </cfRule>
    <cfRule type="cellIs" dxfId="34" priority="68" operator="between">
      <formula>6501</formula>
      <formula>7000</formula>
    </cfRule>
    <cfRule type="cellIs" dxfId="33" priority="69" operator="between">
      <formula>6001</formula>
      <formula>6500</formula>
    </cfRule>
    <cfRule type="cellIs" dxfId="32" priority="70" operator="between">
      <formula>5501</formula>
      <formula>6000</formula>
    </cfRule>
    <cfRule type="cellIs" dxfId="31" priority="71" operator="between">
      <formula>5001</formula>
      <formula>5500</formula>
    </cfRule>
    <cfRule type="cellIs" dxfId="30" priority="72" operator="between">
      <formula>4501</formula>
      <formula>5000</formula>
    </cfRule>
    <cfRule type="cellIs" dxfId="29" priority="73" operator="between">
      <formula>4001</formula>
      <formula>4500</formula>
    </cfRule>
    <cfRule type="cellIs" dxfId="28" priority="74" operator="between">
      <formula>3501</formula>
      <formula>4000</formula>
    </cfRule>
    <cfRule type="cellIs" dxfId="27" priority="75" operator="between">
      <formula>3001</formula>
      <formula>3500</formula>
    </cfRule>
    <cfRule type="cellIs" dxfId="26" priority="76" operator="between">
      <formula>2501</formula>
      <formula>3000</formula>
    </cfRule>
    <cfRule type="cellIs" dxfId="25" priority="77" operator="between">
      <formula>2001</formula>
      <formula>2500</formula>
    </cfRule>
    <cfRule type="cellIs" dxfId="24" priority="78" operator="between">
      <formula>1501</formula>
      <formula>2000</formula>
    </cfRule>
    <cfRule type="cellIs" dxfId="23" priority="79" operator="between">
      <formula>1001</formula>
      <formula>1500</formula>
    </cfRule>
    <cfRule type="cellIs" dxfId="22" priority="80" operator="between">
      <formula>501</formula>
      <formula>1000</formula>
    </cfRule>
    <cfRule type="cellIs" dxfId="21" priority="81" operator="between">
      <formula>1</formula>
      <formula>500</formula>
    </cfRule>
    <cfRule type="cellIs" dxfId="20" priority="82" operator="lessThan">
      <formula>0</formula>
    </cfRule>
    <cfRule type="cellIs" dxfId="19" priority="83" operator="equal">
      <formula>0</formula>
    </cfRule>
  </conditionalFormatting>
  <conditionalFormatting sqref="B1">
    <cfRule type="expression" dxfId="18" priority="59">
      <formula>$B$2=""</formula>
    </cfRule>
  </conditionalFormatting>
  <conditionalFormatting sqref="B87">
    <cfRule type="expression" dxfId="17" priority="146">
      <formula>$C$90=""</formula>
    </cfRule>
  </conditionalFormatting>
  <conditionalFormatting sqref="B16:C17">
    <cfRule type="expression" dxfId="16" priority="45">
      <formula>$E$15=0</formula>
    </cfRule>
  </conditionalFormatting>
  <conditionalFormatting sqref="B29:C29">
    <cfRule type="expression" dxfId="15" priority="34">
      <formula>$C$20=""</formula>
    </cfRule>
  </conditionalFormatting>
  <conditionalFormatting sqref="B30">
    <cfRule type="containsText" dxfId="14" priority="42" operator="containsText" text="2018">
      <formula>NOT(ISERROR(SEARCH("2018",B30)))</formula>
    </cfRule>
  </conditionalFormatting>
  <conditionalFormatting sqref="B27">
    <cfRule type="containsText" dxfId="13" priority="41" operator="containsText" text="HPL">
      <formula>NOT(ISERROR(SEARCH("HPL",B27)))</formula>
    </cfRule>
  </conditionalFormatting>
  <conditionalFormatting sqref="C30">
    <cfRule type="expression" dxfId="12" priority="35">
      <formula>$B$30=""</formula>
    </cfRule>
  </conditionalFormatting>
  <conditionalFormatting sqref="AB73:AB80">
    <cfRule type="expression" dxfId="11" priority="28">
      <formula>$E$1=0</formula>
    </cfRule>
  </conditionalFormatting>
  <conditionalFormatting sqref="I27:T29">
    <cfRule type="expression" dxfId="10" priority="11">
      <formula>$C$32="NO CHANGE"</formula>
    </cfRule>
    <cfRule type="expression" dxfId="9" priority="12">
      <formula>$C$34&gt;1</formula>
    </cfRule>
  </conditionalFormatting>
  <conditionalFormatting sqref="L2:L13">
    <cfRule type="uniqueValues" dxfId="8" priority="8"/>
  </conditionalFormatting>
  <conditionalFormatting sqref="I16">
    <cfRule type="expression" dxfId="7" priority="159">
      <formula>$O$21&gt;0</formula>
    </cfRule>
    <cfRule type="expression" dxfId="6" priority="160">
      <formula>$N$21&gt;0</formula>
    </cfRule>
    <cfRule type="expression" dxfId="5" priority="161">
      <formula>$O$20&gt;0</formula>
    </cfRule>
    <cfRule type="expression" dxfId="4" priority="162">
      <formula>$N$20=""</formula>
    </cfRule>
  </conditionalFormatting>
  <dataValidations count="34">
    <dataValidation type="list" showInputMessage="1" showErrorMessage="1" sqref="C39 C42 C45 C48 C51 C75" xr:uid="{00000000-0002-0000-0000-000000000000}">
      <formula1>MONTHS</formula1>
    </dataValidation>
    <dataValidation type="list" allowBlank="1" showInputMessage="1" showErrorMessage="1" sqref="C40" xr:uid="{00000000-0002-0000-0000-000001000000}">
      <formula1>HMA</formula1>
    </dataValidation>
    <dataValidation type="list" allowBlank="1" showInputMessage="1" showErrorMessage="1" sqref="C43" xr:uid="{00000000-0002-0000-0000-000002000000}">
      <formula1>APGLI</formula1>
    </dataValidation>
    <dataValidation type="list" allowBlank="1" showInputMessage="1" showErrorMessage="1" sqref="C49 C47" xr:uid="{00000000-0002-0000-0000-000003000000}">
      <formula1>P.TAX</formula1>
    </dataValidation>
    <dataValidation type="list" allowBlank="1" showErrorMessage="1" sqref="B12" xr:uid="{00000000-0002-0000-0000-000004000000}">
      <formula1>DDO</formula1>
    </dataValidation>
    <dataValidation type="list" errorStyle="information" prompt="_x000a_" sqref="B6" xr:uid="{00000000-0002-0000-0000-000005000000}">
      <formula1>DESIGNATION</formula1>
    </dataValidation>
    <dataValidation type="list" errorStyle="information" allowBlank="1" showInputMessage="1" sqref="B10" xr:uid="{00000000-0002-0000-0000-000006000000}">
      <formula1>DISTRICT</formula1>
    </dataValidation>
    <dataValidation type="list" allowBlank="1" showErrorMessage="1" prompt="_x000a_" sqref="B7" xr:uid="{00000000-0002-0000-0000-000007000000}">
      <formula1>OFFICE</formula1>
    </dataValidation>
    <dataValidation type="list" allowBlank="1" showInputMessage="1" showErrorMessage="1" sqref="C52 C50" xr:uid="{00000000-0002-0000-0000-000008000000}">
      <formula1>EHS</formula1>
    </dataValidation>
    <dataValidation type="list" showInputMessage="1" showErrorMessage="1" errorTitle="ఎంపికలు కలవు" error="DROP DOWN LIST లో_x000a_HRA % ను ఎంచుకోగలరు" sqref="C31 C33" xr:uid="{00000000-0002-0000-0000-000009000000}">
      <formula1>HRA</formula1>
    </dataValidation>
    <dataValidation type="list" showInputMessage="1" showErrorMessage="1" errorTitle="SELECT ONLY &quot;GPF or CPS&quot;" promptTitle="MobileTAX" prompt="REMINDER_x000a__x000a_CPS ఉద్యోగినా_x000a_GPF ఉద్యోగినా_x000a_అనే ఈ ఎంపిక తప్పనిసరి." sqref="C14:C15" xr:uid="{00000000-0002-0000-0000-00000A000000}">
      <formula1>EMP_TYPE</formula1>
    </dataValidation>
    <dataValidation type="list" allowBlank="1" showInputMessage="1" showErrorMessage="1" sqref="C44 C46" xr:uid="{00000000-0002-0000-0000-00000B000000}">
      <formula1>GIS</formula1>
    </dataValidation>
    <dataValidation type="list" errorStyle="information" allowBlank="1" sqref="C19" xr:uid="{00000000-0002-0000-0000-00000C000000}">
      <formula1>BASIC_PAY</formula1>
    </dataValidation>
    <dataValidation type="list" showInputMessage="1" showErrorMessage="1" sqref="C55" xr:uid="{00000000-0002-0000-0000-00000D000000}">
      <formula1>MONTHS_EL</formula1>
    </dataValidation>
    <dataValidation type="list" showInputMessage="1" showErrorMessage="1" errorTitle="మన్నించాలి" error="ఈ SOFTWARE 15 లేదా 30_x000a_ELs ను ENCASH చేసుకున్నవారికి_x000a_తయారుచేయబడినది._x000a_PLEASE CONTACT US_x000a_ramanjaneyuluperumal@gmail.com" sqref="C56" xr:uid="{00000000-0002-0000-0000-00000E000000}">
      <formula1>EL</formula1>
    </dataValidation>
    <dataValidation type="list" showErrorMessage="1" errorTitle="SELCT ONLY &quot;YES or NO&quot;" promptTitle="CPS ఉద్యోగులకు మాత్రమే ...!" prompt="CPS ఉద్యోగులు తమ CPS DEDUCTION ను_x000a_80CCD(1)(B) SECTION కు_x000a_SPLIT చెయ్యాలి అంటే YES ను SELECT చెయ్యాలి._x000a_SPLIT చెయ్యకూడదు అంటే  NO ను SELECT చెయ్యాలి._x000a__x000a_GPF ఉద్యోగులకు  ఈ ఎంపిక ఏ రకంగానూ వర్తించదు." sqref="C54 C65 C73 C35" xr:uid="{00000000-0002-0000-0000-00000F000000}">
      <formula1>YES_NO</formula1>
    </dataValidation>
    <dataValidation type="list" showInputMessage="1" showErrorMessage="1" errorTitle="మిత్రమా ...!" error="DROP DOWN LIST లో_x000a_మీ INSURANCE లేదా ? అయితే .._x000a__x000a_చివర్లో OTHERS_x000a_అనే OPTION ను ఎంచుకోగలరు." promptTitle="ఎంపికలు కలవు" prompt="ఈ DROP DOWN LIST లో_x000a_మీకు సంబందించిన INSURANCE_x000a_లేకపోతే OTHERS ను SELECT చేసుకోగలరు." sqref="B97" xr:uid="{00000000-0002-0000-0000-000010000000}">
      <formula1>SAVINGS_OTHERS</formula1>
    </dataValidation>
    <dataValidation type="list" showInputMessage="1" showErrorMessage="1" errorTitle="Oops....! Contact Us" error="ramanjaneyuluperumal@gmail.com" sqref="C76 C74" xr:uid="{00000000-0002-0000-0000-000011000000}">
      <formula1>CCA</formula1>
    </dataValidation>
    <dataValidation type="list" showInputMessage="1" showErrorMessage="1" errorTitle="Oops....! Contact Us" error="ramanjaneyuluperumal@gmail.com" sqref="C69" xr:uid="{00000000-0002-0000-0000-000012000000}">
      <formula1>RA</formula1>
    </dataValidation>
    <dataValidation type="list" errorStyle="information" allowBlank="1" showInputMessage="1" showErrorMessage="1" sqref="C90" xr:uid="{00000000-0002-0000-0000-000013000000}">
      <formula1>RENT</formula1>
    </dataValidation>
    <dataValidation type="list" showInputMessage="1" showErrorMessage="1" sqref="C36:C37" xr:uid="{00000000-0002-0000-0000-000014000000}">
      <formula1>AHRA_MONTHS</formula1>
    </dataValidation>
    <dataValidation type="list" showInputMessage="1" showErrorMessage="1" sqref="C26 C23" xr:uid="{00000000-0002-0000-0000-000015000000}">
      <formula1>DAYS</formula1>
    </dataValidation>
    <dataValidation type="list" showInputMessage="1" showErrorMessage="1" sqref="C22" xr:uid="{00000000-0002-0000-0000-000016000000}">
      <formula1>AAS</formula1>
    </dataValidation>
    <dataValidation type="list" showInputMessage="1" showErrorMessage="1" sqref="C20" xr:uid="{00000000-0002-0000-0000-000017000000}">
      <formula1>INC_MONTHS</formula1>
    </dataValidation>
    <dataValidation type="list" allowBlank="1" showInputMessage="1" showErrorMessage="1" sqref="C24 C21" xr:uid="{00000000-0002-0000-0000-000018000000}">
      <formula1>YES_NO</formula1>
    </dataValidation>
    <dataValidation type="list" showInputMessage="1" showErrorMessage="1" sqref="C25" xr:uid="{00000000-0002-0000-0000-000019000000}">
      <formula1>HPL</formula1>
    </dataValidation>
    <dataValidation type="list" showInputMessage="1" showErrorMessage="1" errorTitle="SELECT 30" error="MAY నెలలో 31 రోజులున్ననూ_x000a_30  ఎంచుకోండి" sqref="C70:C72 C66:C68" xr:uid="{00000000-0002-0000-0000-00001A000000}">
      <formula1>DAYS_30</formula1>
    </dataValidation>
    <dataValidation type="list" showInputMessage="1" showErrorMessage="1" sqref="C32" xr:uid="{00000000-0002-0000-0000-00001B000000}">
      <formula1>HRA_NO_CHANGE</formula1>
    </dataValidation>
    <dataValidation type="list" showInputMessage="1" showErrorMessage="1" errorTitle="SELCT ONLY &quot;YES or NO&quot;" sqref="C16:C17" xr:uid="{00000000-0002-0000-0000-00001C000000}">
      <formula1>IF($C$14="CPS",YES_NO,EMPTY)</formula1>
    </dataValidation>
    <dataValidation type="list" showInputMessage="1" showErrorMessage="1" sqref="C62 C59" xr:uid="{00000000-0002-0000-0000-00001D000000}">
      <formula1>IF($E$15=0,MONTHS,EMPTY)</formula1>
    </dataValidation>
    <dataValidation type="list" showInputMessage="1" showErrorMessage="1" sqref="C34" xr:uid="{00000000-0002-0000-0000-00001E000000}">
      <formula1>IF($C$32="NO CHANGE",EMPTY,DAYS)</formula1>
    </dataValidation>
    <dataValidation type="list" allowBlank="1" showInputMessage="1" showErrorMessage="1" promptTitle="APGLI SUGGESTION" prompt="_x000a_APGLI DEDUCTION_x000a_AMOUNT ను_x000a_MANUAL గా కూడా_x000a_నమోదు చెయ్యొచ్చు" sqref="C41" xr:uid="{00000000-0002-0000-0000-00001F000000}">
      <formula1>APGLI</formula1>
    </dataValidation>
    <dataValidation allowBlank="1" showInputMessage="1" showErrorMessage="1" promptTitle="MobileTAX_2018" prompt="WELCOMES YOU" sqref="B2" xr:uid="{00000000-0002-0000-0000-000020000000}"/>
    <dataValidation type="list" allowBlank="1" showInputMessage="1" showErrorMessage="1" promptTitle="SPL / PP /  HMA సలహా" prompt="_x000a_SPL PAY_HMA_PP_FPI_x000a_AMOUNT ను_x000a_MANUAL గా కూడా_x000a_నమోదు చెయ్యొచ్చు" sqref="C38" xr:uid="{00000000-0002-0000-0000-000021000000}">
      <formula1>HMA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  <pageSetUpPr fitToPage="1"/>
  </sheetPr>
  <dimension ref="B1:Y31"/>
  <sheetViews>
    <sheetView showGridLines="0" showRowColHeaders="0" showRuler="0" zoomScaleNormal="100" zoomScaleSheetLayoutView="90" workbookViewId="0" xr3:uid="{958C4451-9541-5A59-BF78-D2F731DF1C81}">
      <pane xSplit="2" ySplit="4" topLeftCell="C5" activePane="bottomRight" state="frozen"/>
      <selection pane="bottomLeft" activeCell="A5" sqref="A5"/>
      <selection pane="topRight" activeCell="C1" sqref="C1"/>
      <selection pane="bottomRight" activeCell="T12" sqref="T12"/>
    </sheetView>
  </sheetViews>
  <sheetFormatPr defaultColWidth="9.14453125" defaultRowHeight="15" x14ac:dyDescent="0.2"/>
  <cols>
    <col min="1" max="1" width="1.34375" style="3" customWidth="1"/>
    <col min="2" max="2" width="9.4140625" style="3" customWidth="1"/>
    <col min="3" max="3" width="7.6640625" style="3" customWidth="1"/>
    <col min="4" max="4" width="6.3203125" style="3" customWidth="1"/>
    <col min="5" max="11" width="6.9921875" style="3" customWidth="1"/>
    <col min="12" max="12" width="9.01171875" style="3" customWidth="1"/>
    <col min="13" max="14" width="7.26171875" style="3" customWidth="1"/>
    <col min="15" max="15" width="5.24609375" style="3" customWidth="1"/>
    <col min="16" max="18" width="6.3203125" style="3" customWidth="1"/>
    <col min="19" max="20" width="7.26171875" style="3" customWidth="1"/>
    <col min="21" max="21" width="6.72265625" style="3" customWidth="1"/>
    <col min="22" max="22" width="7.6640625" style="3" customWidth="1"/>
    <col min="23" max="23" width="8.7421875" style="3" customWidth="1"/>
    <col min="24" max="25" width="7.3984375" style="3" customWidth="1"/>
    <col min="26" max="16384" width="9.14453125" style="3"/>
  </cols>
  <sheetData>
    <row r="1" spans="2:25" ht="5.0999999999999996" customHeight="1" thickBot="1" x14ac:dyDescent="0.25"/>
    <row r="2" spans="2:25" ht="24.95" customHeight="1" thickTop="1" x14ac:dyDescent="0.2">
      <c r="B2" s="392"/>
      <c r="C2" s="803" t="str">
        <f>CONCATENATE(" Statement of Salary Particulars of Sri./Smt."," ",UPPER(INFO!B2)," , ",UPPER(INFO!B6)," , ","EMP.ID_",UPPER(INFO!B3)," , ","EMP.PAN_",UPPER(INFO!B4))</f>
        <v xml:space="preserve"> Statement of Salary Particulars of Sri./Smt.  ,  , EMP.ID_ , EMP.PAN_</v>
      </c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4"/>
    </row>
    <row r="3" spans="2:25" ht="24.95" customHeight="1" thickBot="1" x14ac:dyDescent="0.25">
      <c r="B3" s="393"/>
      <c r="C3" s="816" t="str">
        <f>CONCATENATE(UPPER(INFO!B7),"  ;  ",UPPER(INFO!B8),"_","VILLAGE","  ;  ",UPPER(INFO!B9),"_","MANDAL","  ;  ",UPPER(INFO!B10),"_","DISTRICT.","    ","( FINANCIAL YEAR","  :  ",'ANNEXURE II'!B3," )")</f>
        <v xml:space="preserve">  ;  _VILLAGE  ;  _MANDAL  ;  _DISTRICT.    ( FINANCIAL YEAR  :  2017-18 )</v>
      </c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7"/>
    </row>
    <row r="4" spans="2:25" ht="50.1" customHeight="1" x14ac:dyDescent="0.2">
      <c r="B4" s="394" t="s">
        <v>2</v>
      </c>
      <c r="C4" s="294" t="s">
        <v>69</v>
      </c>
      <c r="D4" s="295" t="s">
        <v>70</v>
      </c>
      <c r="E4" s="296" t="s">
        <v>64</v>
      </c>
      <c r="F4" s="296" t="s">
        <v>52</v>
      </c>
      <c r="G4" s="294" t="s">
        <v>318</v>
      </c>
      <c r="H4" s="296" t="s">
        <v>6</v>
      </c>
      <c r="I4" s="297" t="s">
        <v>7</v>
      </c>
      <c r="J4" s="297" t="s">
        <v>653</v>
      </c>
      <c r="K4" s="297" t="s">
        <v>654</v>
      </c>
      <c r="L4" s="298" t="s">
        <v>65</v>
      </c>
      <c r="M4" s="298">
        <f>INFO!C14</f>
        <v>0</v>
      </c>
      <c r="N4" s="296" t="s">
        <v>0</v>
      </c>
      <c r="O4" s="296" t="s">
        <v>1</v>
      </c>
      <c r="P4" s="510" t="s">
        <v>3</v>
      </c>
      <c r="Q4" s="299" t="s">
        <v>144</v>
      </c>
      <c r="R4" s="300" t="s">
        <v>221</v>
      </c>
      <c r="S4" s="498" t="str">
        <f>IF(INFO!C14="GPF","ZPPF LOAN","CPS LOAN")</f>
        <v>CPS LOAN</v>
      </c>
      <c r="T4" s="498" t="str">
        <f>INFO!T1</f>
        <v>S.S.S.
(L.I.C.)</v>
      </c>
      <c r="U4" s="498" t="s">
        <v>8</v>
      </c>
      <c r="V4" s="294" t="s">
        <v>66</v>
      </c>
      <c r="W4" s="301" t="s">
        <v>14</v>
      </c>
      <c r="X4" s="302" t="s">
        <v>222</v>
      </c>
      <c r="Y4" s="395" t="s">
        <v>223</v>
      </c>
    </row>
    <row r="5" spans="2:25" ht="20.100000000000001" customHeight="1" x14ac:dyDescent="0.2">
      <c r="B5" s="447" t="str">
        <f>INFO!AM32</f>
        <v>Mar-2017</v>
      </c>
      <c r="C5" s="461">
        <f>INFO!K2</f>
        <v>0</v>
      </c>
      <c r="D5" s="461">
        <f>INFO!AK2</f>
        <v>0</v>
      </c>
      <c r="E5" s="461">
        <f>ROUND(C5*Y5,0)</f>
        <v>0</v>
      </c>
      <c r="F5" s="461">
        <f>IF(X5=30%,(MIN(INFO!F2,20000)),IF(X5&lt;30%,(MIN(INFO!F2,15000)),INFO!F2))</f>
        <v>0</v>
      </c>
      <c r="G5" s="461">
        <f>IF(AND(INFO!C35="YES",INFO!E36&lt;=3,INFO!E37&gt;=3,C5&lt;=20000),(ROUND(C5*8%,0)),
  IF(AND(INFO!C35="YES",INFO!E36&lt;=3,INFO!E37&gt;=3,C5&gt;20000),(2000),0))</f>
        <v>0</v>
      </c>
      <c r="H5" s="461">
        <f>INFO!O2</f>
        <v>0</v>
      </c>
      <c r="I5" s="461">
        <f>INFO!P2</f>
        <v>0</v>
      </c>
      <c r="J5" s="461">
        <f>INFO!Q2</f>
        <v>0</v>
      </c>
      <c r="K5" s="461">
        <f>INFO!S2</f>
        <v>0</v>
      </c>
      <c r="L5" s="461">
        <f>SUM(C5:K5)</f>
        <v>0</v>
      </c>
      <c r="M5" s="461">
        <f>IF(INFO!C14="CPS",ROUND(('ANNEXURE I'!C5+'ANNEXURE I'!E5)*10%,0),INFO!M2)</f>
        <v>0</v>
      </c>
      <c r="N5" s="461">
        <f>INFO!AL2</f>
        <v>0</v>
      </c>
      <c r="O5" s="461">
        <f>INFO!AM2</f>
        <v>0</v>
      </c>
      <c r="P5" s="461">
        <f>INFO!AN2</f>
        <v>0</v>
      </c>
      <c r="Q5" s="461">
        <f>INFO!AO2</f>
        <v>0</v>
      </c>
      <c r="R5" s="461">
        <f>INFO!M14</f>
        <v>20</v>
      </c>
      <c r="S5" s="461">
        <f>INFO!N2</f>
        <v>0</v>
      </c>
      <c r="T5" s="461">
        <f>INFO!T2</f>
        <v>0</v>
      </c>
      <c r="U5" s="461">
        <f>INFO!R2</f>
        <v>0</v>
      </c>
      <c r="V5" s="461">
        <f>SUM(M5:U5)</f>
        <v>20</v>
      </c>
      <c r="W5" s="461">
        <f t="shared" ref="W5:W16" si="0">L5-V5</f>
        <v>-20</v>
      </c>
      <c r="X5" s="591">
        <f>INFO!L2</f>
        <v>0</v>
      </c>
      <c r="Y5" s="396">
        <f>INFO!I2</f>
        <v>0.15196000000000001</v>
      </c>
    </row>
    <row r="6" spans="2:25" ht="20.100000000000001" customHeight="1" x14ac:dyDescent="0.2">
      <c r="B6" s="447" t="str">
        <f>INFO!AM33</f>
        <v>Apr-2017</v>
      </c>
      <c r="C6" s="461">
        <f>INFO!K3</f>
        <v>0</v>
      </c>
      <c r="D6" s="461">
        <f>INFO!AK3</f>
        <v>0</v>
      </c>
      <c r="E6" s="461">
        <f t="shared" ref="E6:E16" si="1">ROUND(C6*Y6,0)</f>
        <v>0</v>
      </c>
      <c r="F6" s="461">
        <f>IF(X6=30%,(MIN(INFO!F3,20000)),IF(X6&lt;30%,(MIN(INFO!F3,15000)),INFO!F3))</f>
        <v>0</v>
      </c>
      <c r="G6" s="461">
        <f>IF(AND(INFO!C35="YES",INFO!E36&lt;=4,INFO!E37&gt;=4,C6&lt;=20000),(ROUND(C6*8%,0)),
  IF(AND(INFO!C35="YES",INFO!E36&lt;=4,INFO!E37&gt;=4,C6&gt;20000),(2000),0))</f>
        <v>0</v>
      </c>
      <c r="H6" s="461">
        <f>INFO!O3</f>
        <v>0</v>
      </c>
      <c r="I6" s="461">
        <f>INFO!P3</f>
        <v>0</v>
      </c>
      <c r="J6" s="461">
        <f>INFO!Q3</f>
        <v>0</v>
      </c>
      <c r="K6" s="461">
        <f>INFO!S3</f>
        <v>0</v>
      </c>
      <c r="L6" s="461">
        <f t="shared" ref="L6:L21" si="2">SUM(C6:K6)</f>
        <v>0</v>
      </c>
      <c r="M6" s="461">
        <f>IF(INFO!C14="CPS",ROUND(('ANNEXURE I'!C6+'ANNEXURE I'!E6)*10%,0),INFO!M3)</f>
        <v>0</v>
      </c>
      <c r="N6" s="461">
        <f>INFO!AL3</f>
        <v>0</v>
      </c>
      <c r="O6" s="461">
        <f>INFO!AM3</f>
        <v>0</v>
      </c>
      <c r="P6" s="461">
        <f>INFO!AN3</f>
        <v>0</v>
      </c>
      <c r="Q6" s="461">
        <f>INFO!AO3</f>
        <v>0</v>
      </c>
      <c r="R6" s="461">
        <v>0</v>
      </c>
      <c r="S6" s="461">
        <f>INFO!N3</f>
        <v>0</v>
      </c>
      <c r="T6" s="461">
        <f>INFO!T3</f>
        <v>0</v>
      </c>
      <c r="U6" s="461">
        <f>INFO!R3</f>
        <v>0</v>
      </c>
      <c r="V6" s="461">
        <f t="shared" ref="V6:V21" si="3">SUM(M6:U6)</f>
        <v>0</v>
      </c>
      <c r="W6" s="461">
        <f t="shared" si="0"/>
        <v>0</v>
      </c>
      <c r="X6" s="591">
        <f>INFO!L3</f>
        <v>0</v>
      </c>
      <c r="Y6" s="396">
        <f>INFO!I3</f>
        <v>0.18340000000000001</v>
      </c>
    </row>
    <row r="7" spans="2:25" ht="20.100000000000001" customHeight="1" x14ac:dyDescent="0.2">
      <c r="B7" s="447" t="str">
        <f>INFO!AM34</f>
        <v>May-2017</v>
      </c>
      <c r="C7" s="461">
        <f>INFO!K4</f>
        <v>0</v>
      </c>
      <c r="D7" s="461">
        <f>INFO!AK4</f>
        <v>0</v>
      </c>
      <c r="E7" s="461">
        <f t="shared" si="1"/>
        <v>0</v>
      </c>
      <c r="F7" s="461">
        <f>IF(X7=30%,(MIN(INFO!F4,20000)),IF(X7&lt;30%,(MIN(INFO!F4,15000)),INFO!F4))</f>
        <v>0</v>
      </c>
      <c r="G7" s="461">
        <f>IF(AND(INFO!C35="YES",INFO!E36&lt;=5,INFO!E37&gt;=5,C7&lt;=20000),(ROUND(C7*8%,0)),
  IF(AND(INFO!C35="YES",INFO!E36&lt;=5,INFO!E37&gt;=5,C7&gt;20000),(2000),0))</f>
        <v>0</v>
      </c>
      <c r="H7" s="461">
        <f>INFO!O4</f>
        <v>0</v>
      </c>
      <c r="I7" s="461">
        <f>INFO!P4</f>
        <v>0</v>
      </c>
      <c r="J7" s="461">
        <f>INFO!Q4</f>
        <v>0</v>
      </c>
      <c r="K7" s="461">
        <f>INFO!S4</f>
        <v>0</v>
      </c>
      <c r="L7" s="461">
        <f t="shared" si="2"/>
        <v>0</v>
      </c>
      <c r="M7" s="461">
        <f>IF(INFO!C14="CPS",ROUND(('ANNEXURE I'!C7+'ANNEXURE I'!E7)*10%,0),INFO!M4)</f>
        <v>0</v>
      </c>
      <c r="N7" s="461">
        <f>INFO!AL4</f>
        <v>0</v>
      </c>
      <c r="O7" s="461">
        <f>INFO!AM4</f>
        <v>0</v>
      </c>
      <c r="P7" s="461">
        <f>INFO!AN4</f>
        <v>0</v>
      </c>
      <c r="Q7" s="461">
        <f>INFO!AO4</f>
        <v>0</v>
      </c>
      <c r="R7" s="461">
        <v>0</v>
      </c>
      <c r="S7" s="461">
        <f>INFO!N4</f>
        <v>0</v>
      </c>
      <c r="T7" s="461">
        <f>INFO!T4</f>
        <v>0</v>
      </c>
      <c r="U7" s="461">
        <f>INFO!R4</f>
        <v>0</v>
      </c>
      <c r="V7" s="461">
        <f t="shared" si="3"/>
        <v>0</v>
      </c>
      <c r="W7" s="461">
        <f t="shared" si="0"/>
        <v>0</v>
      </c>
      <c r="X7" s="591">
        <f>INFO!L4</f>
        <v>0</v>
      </c>
      <c r="Y7" s="396">
        <f>INFO!I4</f>
        <v>0.18340000000000001</v>
      </c>
    </row>
    <row r="8" spans="2:25" ht="20.100000000000001" customHeight="1" x14ac:dyDescent="0.2">
      <c r="B8" s="447" t="str">
        <f>INFO!AM35</f>
        <v>Jun-2017</v>
      </c>
      <c r="C8" s="461">
        <f>INFO!K5</f>
        <v>0</v>
      </c>
      <c r="D8" s="461">
        <f>INFO!AK5</f>
        <v>0</v>
      </c>
      <c r="E8" s="461">
        <f t="shared" si="1"/>
        <v>0</v>
      </c>
      <c r="F8" s="461">
        <f>IF(X8=30%,(MIN(INFO!F5,20000)),IF(X8&lt;30%,(MIN(INFO!F5,15000)),INFO!F5))</f>
        <v>0</v>
      </c>
      <c r="G8" s="461">
        <f>IF(AND(INFO!C35="YES",INFO!E36&lt;=6,INFO!E37&gt;=6,C8&lt;=20000),(ROUND(C8*8%,0)),
  IF(AND(INFO!C35="YES",INFO!E36&lt;=6,INFO!E37&gt;=6,C8&gt;20000),(2000),0))</f>
        <v>0</v>
      </c>
      <c r="H8" s="461">
        <f>INFO!O5</f>
        <v>0</v>
      </c>
      <c r="I8" s="461">
        <f>INFO!P5</f>
        <v>0</v>
      </c>
      <c r="J8" s="461">
        <f>INFO!Q5</f>
        <v>0</v>
      </c>
      <c r="K8" s="461">
        <f>INFO!S5</f>
        <v>0</v>
      </c>
      <c r="L8" s="461">
        <f t="shared" si="2"/>
        <v>0</v>
      </c>
      <c r="M8" s="461">
        <f>IF(INFO!C14="CPS",ROUND(('ANNEXURE I'!C8+'ANNEXURE I'!E8)*10%,0),INFO!M5)</f>
        <v>0</v>
      </c>
      <c r="N8" s="461">
        <f>INFO!AL5</f>
        <v>0</v>
      </c>
      <c r="O8" s="461">
        <f>INFO!AM5</f>
        <v>0</v>
      </c>
      <c r="P8" s="461">
        <f>INFO!AN5</f>
        <v>0</v>
      </c>
      <c r="Q8" s="461">
        <f>INFO!AO5</f>
        <v>0</v>
      </c>
      <c r="R8" s="461">
        <v>0</v>
      </c>
      <c r="S8" s="461">
        <f>INFO!N5</f>
        <v>0</v>
      </c>
      <c r="T8" s="461">
        <f>INFO!T5</f>
        <v>0</v>
      </c>
      <c r="U8" s="461">
        <f>INFO!R5</f>
        <v>0</v>
      </c>
      <c r="V8" s="461">
        <f t="shared" si="3"/>
        <v>0</v>
      </c>
      <c r="W8" s="461">
        <f t="shared" si="0"/>
        <v>0</v>
      </c>
      <c r="X8" s="591">
        <f>INFO!L5</f>
        <v>0</v>
      </c>
      <c r="Y8" s="396">
        <f>INFO!I5</f>
        <v>0.18340000000000001</v>
      </c>
    </row>
    <row r="9" spans="2:25" ht="20.100000000000001" customHeight="1" x14ac:dyDescent="0.2">
      <c r="B9" s="447" t="str">
        <f>INFO!AM36</f>
        <v>Jul-2017</v>
      </c>
      <c r="C9" s="461">
        <f>INFO!K6</f>
        <v>0</v>
      </c>
      <c r="D9" s="461">
        <f>INFO!AK6</f>
        <v>0</v>
      </c>
      <c r="E9" s="461">
        <f t="shared" si="1"/>
        <v>0</v>
      </c>
      <c r="F9" s="461">
        <f>IF(X9=30%,(MIN(INFO!F6,20000)),IF(X9&lt;30%,(MIN(INFO!F6,15000)),INFO!F6))</f>
        <v>0</v>
      </c>
      <c r="G9" s="461">
        <f>IF(AND(INFO!C35="YES",INFO!E36&lt;=7,INFO!E37&gt;=7,C9&lt;=20000),(ROUND(C9*8%,0)),
  IF(AND(INFO!C35="YES",INFO!E36&lt;=7,INFO!E37&gt;=7,C9&gt;20000),(2000),0))</f>
        <v>0</v>
      </c>
      <c r="H9" s="461">
        <f>INFO!O6</f>
        <v>0</v>
      </c>
      <c r="I9" s="461">
        <f>INFO!P6</f>
        <v>0</v>
      </c>
      <c r="J9" s="461">
        <f>INFO!Q6</f>
        <v>0</v>
      </c>
      <c r="K9" s="461">
        <f>INFO!S6</f>
        <v>0</v>
      </c>
      <c r="L9" s="461">
        <f t="shared" si="2"/>
        <v>0</v>
      </c>
      <c r="M9" s="461">
        <f>IF(INFO!C14="CPS",ROUND(('ANNEXURE I'!C9+'ANNEXURE I'!E9)*10%,0),INFO!M6)</f>
        <v>0</v>
      </c>
      <c r="N9" s="461">
        <f>INFO!AL6</f>
        <v>0</v>
      </c>
      <c r="O9" s="461">
        <f>INFO!AM6</f>
        <v>0</v>
      </c>
      <c r="P9" s="461">
        <f>INFO!AN6</f>
        <v>0</v>
      </c>
      <c r="Q9" s="461">
        <f>INFO!AO6</f>
        <v>0</v>
      </c>
      <c r="R9" s="461">
        <v>0</v>
      </c>
      <c r="S9" s="461">
        <f>INFO!N6</f>
        <v>0</v>
      </c>
      <c r="T9" s="461">
        <f>INFO!T6</f>
        <v>0</v>
      </c>
      <c r="U9" s="461">
        <f>INFO!R6</f>
        <v>0</v>
      </c>
      <c r="V9" s="461">
        <f t="shared" si="3"/>
        <v>0</v>
      </c>
      <c r="W9" s="461">
        <f t="shared" si="0"/>
        <v>0</v>
      </c>
      <c r="X9" s="591">
        <f>INFO!L6</f>
        <v>0</v>
      </c>
      <c r="Y9" s="396">
        <f>INFO!I6</f>
        <v>0.18340000000000001</v>
      </c>
    </row>
    <row r="10" spans="2:25" ht="20.100000000000001" customHeight="1" x14ac:dyDescent="0.2">
      <c r="B10" s="447" t="str">
        <f>INFO!AM37</f>
        <v>Aug-2017</v>
      </c>
      <c r="C10" s="461">
        <f>INFO!K7</f>
        <v>0</v>
      </c>
      <c r="D10" s="461">
        <f>INFO!AK7</f>
        <v>0</v>
      </c>
      <c r="E10" s="461">
        <f t="shared" si="1"/>
        <v>0</v>
      </c>
      <c r="F10" s="461">
        <f>IF(X10=30%,(MIN(INFO!F7,20000)),IF(X10&lt;30%,(MIN(INFO!F7,15000)),INFO!F7))</f>
        <v>0</v>
      </c>
      <c r="G10" s="461">
        <f>IF(AND(INFO!C35="YES",INFO!E36&lt;=8,INFO!E37&gt;=8,C10&lt;=20000),(ROUND(C10*8%,0)),
  IF(AND(INFO!C35="YES",INFO!E36&lt;=8,INFO!E37&gt;=8,C10&gt;20000),(2000),0))</f>
        <v>0</v>
      </c>
      <c r="H10" s="461">
        <f>INFO!O7</f>
        <v>0</v>
      </c>
      <c r="I10" s="461">
        <f>INFO!P7</f>
        <v>0</v>
      </c>
      <c r="J10" s="461">
        <f>INFO!Q7</f>
        <v>0</v>
      </c>
      <c r="K10" s="461">
        <f>INFO!S7</f>
        <v>0</v>
      </c>
      <c r="L10" s="461">
        <f t="shared" si="2"/>
        <v>0</v>
      </c>
      <c r="M10" s="461">
        <f>IF(INFO!C14="CPS",ROUND(('ANNEXURE I'!C10+'ANNEXURE I'!E10)*10%,0),INFO!M7)</f>
        <v>0</v>
      </c>
      <c r="N10" s="461">
        <f>INFO!AL7</f>
        <v>0</v>
      </c>
      <c r="O10" s="461">
        <f>INFO!AM7</f>
        <v>0</v>
      </c>
      <c r="P10" s="461">
        <f>INFO!AN7</f>
        <v>0</v>
      </c>
      <c r="Q10" s="461">
        <f>INFO!AO7</f>
        <v>0</v>
      </c>
      <c r="R10" s="461">
        <v>0</v>
      </c>
      <c r="S10" s="461">
        <f>INFO!N7</f>
        <v>0</v>
      </c>
      <c r="T10" s="461">
        <f>INFO!T7</f>
        <v>0</v>
      </c>
      <c r="U10" s="461">
        <f>INFO!R7</f>
        <v>0</v>
      </c>
      <c r="V10" s="461">
        <f t="shared" si="3"/>
        <v>0</v>
      </c>
      <c r="W10" s="461">
        <f t="shared" si="0"/>
        <v>0</v>
      </c>
      <c r="X10" s="591">
        <f>INFO!L7</f>
        <v>0</v>
      </c>
      <c r="Y10" s="396">
        <f>INFO!I7</f>
        <v>0.18340000000000001</v>
      </c>
    </row>
    <row r="11" spans="2:25" ht="20.100000000000001" customHeight="1" x14ac:dyDescent="0.2">
      <c r="B11" s="447" t="str">
        <f>INFO!AM38</f>
        <v>Sep-2017</v>
      </c>
      <c r="C11" s="461">
        <f>INFO!K8</f>
        <v>0</v>
      </c>
      <c r="D11" s="461">
        <f>INFO!AK8</f>
        <v>0</v>
      </c>
      <c r="E11" s="461">
        <f t="shared" si="1"/>
        <v>0</v>
      </c>
      <c r="F11" s="461">
        <f>IF(X11=30%,(MIN(INFO!F8,20000)),IF(X11&lt;30%,(MIN(INFO!F8,15000)),INFO!F8))</f>
        <v>0</v>
      </c>
      <c r="G11" s="461">
        <f>IF(AND(INFO!C35="YES",INFO!E36&lt;=9,INFO!E37&gt;=9,C11&lt;=20000),(ROUND(C11*8%,0)),
  IF(AND(INFO!C35="YES",INFO!E36&lt;=9,INFO!E37&gt;=9,C11&gt;20000),(2000),0))</f>
        <v>0</v>
      </c>
      <c r="H11" s="461">
        <f>INFO!O8</f>
        <v>0</v>
      </c>
      <c r="I11" s="461">
        <f>INFO!P8</f>
        <v>0</v>
      </c>
      <c r="J11" s="461">
        <f>INFO!Q8</f>
        <v>0</v>
      </c>
      <c r="K11" s="461">
        <f>INFO!S8</f>
        <v>0</v>
      </c>
      <c r="L11" s="461">
        <f t="shared" si="2"/>
        <v>0</v>
      </c>
      <c r="M11" s="461">
        <f>IF(INFO!C14="CPS",ROUND(('ANNEXURE I'!C11+'ANNEXURE I'!E11)*10%,0),INFO!M8)</f>
        <v>0</v>
      </c>
      <c r="N11" s="461">
        <f>INFO!AL8</f>
        <v>0</v>
      </c>
      <c r="O11" s="461">
        <f>INFO!AM8</f>
        <v>0</v>
      </c>
      <c r="P11" s="461">
        <f>INFO!AN8</f>
        <v>0</v>
      </c>
      <c r="Q11" s="461">
        <f>INFO!AO8</f>
        <v>0</v>
      </c>
      <c r="R11" s="461">
        <v>0</v>
      </c>
      <c r="S11" s="461">
        <f>INFO!N8</f>
        <v>0</v>
      </c>
      <c r="T11" s="461">
        <f>INFO!T8</f>
        <v>0</v>
      </c>
      <c r="U11" s="461">
        <f>INFO!R8</f>
        <v>0</v>
      </c>
      <c r="V11" s="461">
        <f t="shared" si="3"/>
        <v>0</v>
      </c>
      <c r="W11" s="461">
        <f t="shared" si="0"/>
        <v>0</v>
      </c>
      <c r="X11" s="591">
        <f>INFO!L8</f>
        <v>0</v>
      </c>
      <c r="Y11" s="396">
        <f>INFO!I8</f>
        <v>0.18340000000000001</v>
      </c>
    </row>
    <row r="12" spans="2:25" ht="20.100000000000001" customHeight="1" x14ac:dyDescent="0.2">
      <c r="B12" s="447" t="str">
        <f>INFO!AM39</f>
        <v>Oct-2017</v>
      </c>
      <c r="C12" s="461">
        <f>INFO!K9</f>
        <v>0</v>
      </c>
      <c r="D12" s="461">
        <f>INFO!AK9</f>
        <v>0</v>
      </c>
      <c r="E12" s="461">
        <f t="shared" si="1"/>
        <v>0</v>
      </c>
      <c r="F12" s="461">
        <f>IF(X12=30%,(MIN(INFO!F9,20000)),IF(X12&lt;30%,(MIN(INFO!F9,15000)),INFO!F9))</f>
        <v>0</v>
      </c>
      <c r="G12" s="461">
        <f>IF(AND(INFO!C35="YES",INFO!E36&lt;=10,INFO!E37&gt;=10,C12&lt;=20000),(ROUND(C12*8%,0)),
  IF(AND(INFO!C35="YES",INFO!E36&lt;=10,INFO!E37&gt;=10,C12&gt;20000),(2000),0))</f>
        <v>0</v>
      </c>
      <c r="H12" s="461">
        <f>INFO!O9</f>
        <v>0</v>
      </c>
      <c r="I12" s="461">
        <f>INFO!P9</f>
        <v>0</v>
      </c>
      <c r="J12" s="461">
        <f>INFO!Q9</f>
        <v>0</v>
      </c>
      <c r="K12" s="461">
        <f>INFO!S9</f>
        <v>0</v>
      </c>
      <c r="L12" s="461">
        <f t="shared" si="2"/>
        <v>0</v>
      </c>
      <c r="M12" s="461">
        <f>IF(INFO!C14="CPS",ROUND(('ANNEXURE I'!C12+'ANNEXURE I'!E12)*10%,0),INFO!M9)</f>
        <v>0</v>
      </c>
      <c r="N12" s="461">
        <f>INFO!AL9</f>
        <v>0</v>
      </c>
      <c r="O12" s="461">
        <f>INFO!AM9</f>
        <v>0</v>
      </c>
      <c r="P12" s="461">
        <f>INFO!AN9</f>
        <v>0</v>
      </c>
      <c r="Q12" s="461">
        <f>INFO!AO9</f>
        <v>0</v>
      </c>
      <c r="R12" s="461">
        <v>0</v>
      </c>
      <c r="S12" s="461">
        <f>INFO!N9</f>
        <v>0</v>
      </c>
      <c r="T12" s="461">
        <f>INFO!T9</f>
        <v>0</v>
      </c>
      <c r="U12" s="461">
        <f>INFO!R9</f>
        <v>0</v>
      </c>
      <c r="V12" s="461">
        <f t="shared" si="3"/>
        <v>0</v>
      </c>
      <c r="W12" s="461">
        <f t="shared" si="0"/>
        <v>0</v>
      </c>
      <c r="X12" s="591">
        <f>INFO!L9</f>
        <v>0</v>
      </c>
      <c r="Y12" s="396">
        <f>INFO!I9</f>
        <v>0.22008</v>
      </c>
    </row>
    <row r="13" spans="2:25" ht="20.100000000000001" customHeight="1" x14ac:dyDescent="0.2">
      <c r="B13" s="447" t="str">
        <f>INFO!AM40</f>
        <v>Nov-2017</v>
      </c>
      <c r="C13" s="461">
        <f>INFO!K10</f>
        <v>0</v>
      </c>
      <c r="D13" s="461">
        <f>INFO!AK10</f>
        <v>0</v>
      </c>
      <c r="E13" s="461">
        <f t="shared" si="1"/>
        <v>0</v>
      </c>
      <c r="F13" s="461">
        <f>IF(X13=30%,(MIN(INFO!F10,20000)),IF(X13&lt;30%,(MIN(INFO!F10,15000)),INFO!F10))</f>
        <v>0</v>
      </c>
      <c r="G13" s="461">
        <f>IF(AND(INFO!C35="YES",INFO!E36&lt;=11,INFO!E37&gt;=11,C13&lt;=20000),(ROUND(C13*8%,0)),
  IF(AND(INFO!C35="YES",INFO!E36&lt;=11,INFO!E37&gt;=11,C13&gt;20000),(2000),0))</f>
        <v>0</v>
      </c>
      <c r="H13" s="461">
        <f>INFO!O10</f>
        <v>0</v>
      </c>
      <c r="I13" s="461">
        <f>INFO!P10</f>
        <v>0</v>
      </c>
      <c r="J13" s="461">
        <f>INFO!Q10</f>
        <v>0</v>
      </c>
      <c r="K13" s="461">
        <f>INFO!S10</f>
        <v>0</v>
      </c>
      <c r="L13" s="461">
        <f t="shared" si="2"/>
        <v>0</v>
      </c>
      <c r="M13" s="461">
        <f>IF(INFO!C14="CPS",ROUND(('ANNEXURE I'!C13+'ANNEXURE I'!E13)*10%,0),INFO!M10)</f>
        <v>0</v>
      </c>
      <c r="N13" s="461">
        <f>INFO!AL10</f>
        <v>0</v>
      </c>
      <c r="O13" s="461">
        <f>INFO!AM10</f>
        <v>0</v>
      </c>
      <c r="P13" s="461">
        <f>INFO!AN10</f>
        <v>0</v>
      </c>
      <c r="Q13" s="461">
        <f>INFO!AO10</f>
        <v>0</v>
      </c>
      <c r="R13" s="461">
        <v>0</v>
      </c>
      <c r="S13" s="461">
        <f>INFO!N10</f>
        <v>0</v>
      </c>
      <c r="T13" s="461">
        <f>INFO!T10</f>
        <v>0</v>
      </c>
      <c r="U13" s="461">
        <f>INFO!R10</f>
        <v>0</v>
      </c>
      <c r="V13" s="461">
        <f t="shared" si="3"/>
        <v>0</v>
      </c>
      <c r="W13" s="461">
        <f t="shared" si="0"/>
        <v>0</v>
      </c>
      <c r="X13" s="591">
        <f>INFO!L10</f>
        <v>0</v>
      </c>
      <c r="Y13" s="396">
        <f>INFO!I10</f>
        <v>0.22008</v>
      </c>
    </row>
    <row r="14" spans="2:25" ht="20.100000000000001" customHeight="1" x14ac:dyDescent="0.2">
      <c r="B14" s="447" t="str">
        <f>INFO!AM41</f>
        <v>Dec-2017</v>
      </c>
      <c r="C14" s="461">
        <f>INFO!K11</f>
        <v>0</v>
      </c>
      <c r="D14" s="461">
        <f>INFO!AK11</f>
        <v>0</v>
      </c>
      <c r="E14" s="461">
        <f t="shared" si="1"/>
        <v>0</v>
      </c>
      <c r="F14" s="461">
        <f>IF(X14=30%,(MIN(INFO!F11,20000)),IF(X14&lt;30%,(MIN(INFO!F11,15000)),INFO!F11))</f>
        <v>0</v>
      </c>
      <c r="G14" s="461">
        <f>IF(AND(INFO!C35="YES",INFO!E36&lt;=12,INFO!E37&gt;=12,C14&lt;=20000),(ROUND(C14*8%,0)),
  IF(AND(INFO!C35="YES",INFO!E36&lt;=12,INFO!E37&gt;=12,C14&gt;20000),(2000),0))</f>
        <v>0</v>
      </c>
      <c r="H14" s="461">
        <f>INFO!O11</f>
        <v>0</v>
      </c>
      <c r="I14" s="461">
        <f>INFO!P11</f>
        <v>0</v>
      </c>
      <c r="J14" s="461">
        <f>INFO!Q11</f>
        <v>0</v>
      </c>
      <c r="K14" s="461">
        <f>INFO!S11</f>
        <v>0</v>
      </c>
      <c r="L14" s="461">
        <f t="shared" si="2"/>
        <v>0</v>
      </c>
      <c r="M14" s="461">
        <f>IF(INFO!C14="CPS",ROUND(('ANNEXURE I'!C14+'ANNEXURE I'!E14)*10%,0),INFO!M11)</f>
        <v>0</v>
      </c>
      <c r="N14" s="461">
        <f>INFO!AL11</f>
        <v>0</v>
      </c>
      <c r="O14" s="461">
        <f>INFO!AM11</f>
        <v>0</v>
      </c>
      <c r="P14" s="461">
        <f>INFO!AN11</f>
        <v>0</v>
      </c>
      <c r="Q14" s="461">
        <f>INFO!AO11</f>
        <v>0</v>
      </c>
      <c r="R14" s="461">
        <f>INFO!Q14</f>
        <v>50</v>
      </c>
      <c r="S14" s="461">
        <f>INFO!N11</f>
        <v>0</v>
      </c>
      <c r="T14" s="461">
        <f>INFO!T11</f>
        <v>0</v>
      </c>
      <c r="U14" s="461">
        <f>INFO!R11</f>
        <v>0</v>
      </c>
      <c r="V14" s="461">
        <f t="shared" si="3"/>
        <v>50</v>
      </c>
      <c r="W14" s="461">
        <f t="shared" si="0"/>
        <v>-50</v>
      </c>
      <c r="X14" s="591">
        <f>INFO!L11</f>
        <v>0</v>
      </c>
      <c r="Y14" s="396">
        <f>INFO!I11</f>
        <v>0.22008</v>
      </c>
    </row>
    <row r="15" spans="2:25" ht="20.100000000000001" customHeight="1" x14ac:dyDescent="0.2">
      <c r="B15" s="447" t="str">
        <f>INFO!AM42</f>
        <v>Jan-2018</v>
      </c>
      <c r="C15" s="461">
        <f>INFO!K12</f>
        <v>0</v>
      </c>
      <c r="D15" s="461">
        <f>INFO!AK12</f>
        <v>0</v>
      </c>
      <c r="E15" s="461">
        <f t="shared" si="1"/>
        <v>0</v>
      </c>
      <c r="F15" s="461">
        <f>IF(X15=30%,(MIN(INFO!F12,20000)),IF(X15&lt;30%,(MIN(INFO!F12,15000)),INFO!F12))</f>
        <v>0</v>
      </c>
      <c r="G15" s="461">
        <f>IF(AND(INFO!C35="YES",INFO!E36&lt;=13,INFO!E37&gt;=13,C15&lt;=20000),(ROUND(C15*8%,0)),
  IF(AND(INFO!C35="YES",INFO!E36&lt;=13,INFO!E37&gt;=13,C15&gt;20000),(2000),0))</f>
        <v>0</v>
      </c>
      <c r="H15" s="461">
        <f>INFO!O12</f>
        <v>0</v>
      </c>
      <c r="I15" s="461">
        <f>INFO!P12</f>
        <v>0</v>
      </c>
      <c r="J15" s="461">
        <f>INFO!Q12</f>
        <v>0</v>
      </c>
      <c r="K15" s="461">
        <f>INFO!S12</f>
        <v>0</v>
      </c>
      <c r="L15" s="461">
        <f t="shared" si="2"/>
        <v>0</v>
      </c>
      <c r="M15" s="461">
        <f>IF(INFO!C14="CPS",ROUND(('ANNEXURE I'!C15+'ANNEXURE I'!E15)*10%,0),INFO!M12)</f>
        <v>0</v>
      </c>
      <c r="N15" s="461">
        <f>INFO!AL12</f>
        <v>0</v>
      </c>
      <c r="O15" s="461">
        <f>INFO!AM12</f>
        <v>0</v>
      </c>
      <c r="P15" s="461">
        <f>INFO!AN12</f>
        <v>0</v>
      </c>
      <c r="Q15" s="461">
        <f>INFO!AO12</f>
        <v>0</v>
      </c>
      <c r="R15" s="461">
        <v>0</v>
      </c>
      <c r="S15" s="461">
        <f>INFO!N12</f>
        <v>0</v>
      </c>
      <c r="T15" s="461">
        <f>INFO!T12</f>
        <v>0</v>
      </c>
      <c r="U15" s="461">
        <f>INFO!R12</f>
        <v>0</v>
      </c>
      <c r="V15" s="461">
        <f t="shared" si="3"/>
        <v>0</v>
      </c>
      <c r="W15" s="461">
        <f t="shared" si="0"/>
        <v>0</v>
      </c>
      <c r="X15" s="591">
        <f>INFO!L12</f>
        <v>0</v>
      </c>
      <c r="Y15" s="396">
        <f>INFO!I12</f>
        <v>0.22008</v>
      </c>
    </row>
    <row r="16" spans="2:25" ht="20.100000000000001" customHeight="1" x14ac:dyDescent="0.2">
      <c r="B16" s="447" t="str">
        <f>INFO!AM43</f>
        <v>Feb-2018</v>
      </c>
      <c r="C16" s="461">
        <f>INFO!K13</f>
        <v>0</v>
      </c>
      <c r="D16" s="461">
        <f>INFO!AK13</f>
        <v>0</v>
      </c>
      <c r="E16" s="461">
        <f t="shared" si="1"/>
        <v>0</v>
      </c>
      <c r="F16" s="461">
        <f>IF(X16=30%,(MIN(INFO!F13,20000)),IF(X16&lt;30%,(MIN(INFO!F13,15000)),INFO!F13))</f>
        <v>0</v>
      </c>
      <c r="G16" s="461">
        <f>IF(AND(INFO!C35="YES",INFO!E36&lt;=14,INFO!E37&gt;=14,C16&lt;=20000),(ROUND(C16*8%,0)),
  IF(AND(INFO!C35="YES",INFO!E36&lt;=14,INFO!E37&gt;=14,C16&gt;20000),(2000),0))</f>
        <v>0</v>
      </c>
      <c r="H16" s="461">
        <f>INFO!O13</f>
        <v>0</v>
      </c>
      <c r="I16" s="461">
        <f>INFO!P13</f>
        <v>0</v>
      </c>
      <c r="J16" s="461">
        <f>INFO!Q13</f>
        <v>0</v>
      </c>
      <c r="K16" s="461">
        <f>INFO!S13</f>
        <v>0</v>
      </c>
      <c r="L16" s="461">
        <f t="shared" si="2"/>
        <v>0</v>
      </c>
      <c r="M16" s="461">
        <f>IF(INFO!C14="CPS",ROUND(('ANNEXURE I'!C16+'ANNEXURE I'!E16)*10%,0),INFO!M13)</f>
        <v>0</v>
      </c>
      <c r="N16" s="461">
        <f>INFO!AL13</f>
        <v>0</v>
      </c>
      <c r="O16" s="461">
        <f>INFO!AM13</f>
        <v>0</v>
      </c>
      <c r="P16" s="461">
        <f>INFO!AN13</f>
        <v>0</v>
      </c>
      <c r="Q16" s="461">
        <f>INFO!AO13</f>
        <v>0</v>
      </c>
      <c r="R16" s="461">
        <v>0</v>
      </c>
      <c r="S16" s="461">
        <f>INFO!N13</f>
        <v>0</v>
      </c>
      <c r="T16" s="461">
        <f>INFO!T13</f>
        <v>0</v>
      </c>
      <c r="U16" s="461">
        <f>INFO!R13</f>
        <v>0</v>
      </c>
      <c r="V16" s="461">
        <f t="shared" si="3"/>
        <v>0</v>
      </c>
      <c r="W16" s="461">
        <f t="shared" si="0"/>
        <v>0</v>
      </c>
      <c r="X16" s="591">
        <f>INFO!L13</f>
        <v>0</v>
      </c>
      <c r="Y16" s="396">
        <f>INFO!I13</f>
        <v>0.22008</v>
      </c>
    </row>
    <row r="17" spans="2:25" ht="20.100000000000001" customHeight="1" x14ac:dyDescent="0.2">
      <c r="B17" s="397" t="s">
        <v>405</v>
      </c>
      <c r="C17" s="462"/>
      <c r="D17" s="463"/>
      <c r="E17" s="461">
        <f>INFO!N20</f>
        <v>0</v>
      </c>
      <c r="F17" s="461"/>
      <c r="G17" s="461"/>
      <c r="H17" s="464"/>
      <c r="I17" s="464"/>
      <c r="J17" s="464"/>
      <c r="K17" s="464"/>
      <c r="L17" s="461">
        <f t="shared" si="2"/>
        <v>0</v>
      </c>
      <c r="M17" s="461">
        <f>INFO!P20</f>
        <v>0</v>
      </c>
      <c r="N17" s="464"/>
      <c r="O17" s="464"/>
      <c r="P17" s="464"/>
      <c r="Q17" s="464"/>
      <c r="R17" s="464"/>
      <c r="S17" s="464"/>
      <c r="T17" s="464"/>
      <c r="U17" s="464"/>
      <c r="V17" s="461">
        <f>SUM(M17:U17)</f>
        <v>0</v>
      </c>
      <c r="W17" s="461">
        <f>INFO!O20</f>
        <v>0</v>
      </c>
      <c r="X17" s="807" t="s">
        <v>262</v>
      </c>
      <c r="Y17" s="808"/>
    </row>
    <row r="18" spans="2:25" ht="20.100000000000001" customHeight="1" x14ac:dyDescent="0.2">
      <c r="B18" s="397" t="s">
        <v>406</v>
      </c>
      <c r="C18" s="462"/>
      <c r="D18" s="463"/>
      <c r="E18" s="461">
        <f>INFO!N21</f>
        <v>0</v>
      </c>
      <c r="F18" s="461"/>
      <c r="G18" s="461"/>
      <c r="H18" s="464"/>
      <c r="I18" s="464"/>
      <c r="J18" s="464"/>
      <c r="K18" s="464"/>
      <c r="L18" s="461">
        <f t="shared" si="2"/>
        <v>0</v>
      </c>
      <c r="M18" s="461">
        <f>INFO!P21</f>
        <v>0</v>
      </c>
      <c r="N18" s="464"/>
      <c r="O18" s="464"/>
      <c r="P18" s="464"/>
      <c r="Q18" s="464"/>
      <c r="R18" s="464"/>
      <c r="S18" s="464"/>
      <c r="T18" s="464"/>
      <c r="U18" s="464"/>
      <c r="V18" s="461">
        <f>SUM(M18:U18)</f>
        <v>0</v>
      </c>
      <c r="W18" s="461">
        <f>INFO!O21</f>
        <v>0</v>
      </c>
      <c r="X18" s="807" t="s">
        <v>262</v>
      </c>
      <c r="Y18" s="808"/>
    </row>
    <row r="19" spans="2:25" ht="20.100000000000001" customHeight="1" x14ac:dyDescent="0.2">
      <c r="B19" s="397" t="s">
        <v>12</v>
      </c>
      <c r="C19" s="462"/>
      <c r="D19" s="463"/>
      <c r="E19" s="461">
        <f>INFO!N22</f>
        <v>0</v>
      </c>
      <c r="F19" s="461"/>
      <c r="G19" s="461"/>
      <c r="H19" s="464"/>
      <c r="I19" s="464"/>
      <c r="J19" s="464"/>
      <c r="K19" s="464"/>
      <c r="L19" s="461">
        <f t="shared" si="2"/>
        <v>0</v>
      </c>
      <c r="M19" s="461">
        <f>INFO!P22</f>
        <v>0</v>
      </c>
      <c r="N19" s="464"/>
      <c r="O19" s="464"/>
      <c r="P19" s="464"/>
      <c r="Q19" s="464"/>
      <c r="R19" s="464"/>
      <c r="S19" s="464"/>
      <c r="T19" s="464"/>
      <c r="U19" s="464"/>
      <c r="V19" s="461">
        <f t="shared" ref="V19" si="4">SUM(M19:U19)</f>
        <v>0</v>
      </c>
      <c r="W19" s="461">
        <f>INFO!O22</f>
        <v>0</v>
      </c>
      <c r="X19" s="807" t="s">
        <v>652</v>
      </c>
      <c r="Y19" s="808"/>
    </row>
    <row r="20" spans="2:25" ht="20.100000000000001" customHeight="1" x14ac:dyDescent="0.2">
      <c r="B20" s="398" t="s">
        <v>263</v>
      </c>
      <c r="C20" s="461">
        <f>IF(AND(INFO!C54="YES",INFO!C56=30,INFO!C55='ANNEXURE I'!B5),('ANNEXURE I'!C5),
IF(AND(INFO!C54="YES",INFO!C56=30,INFO!C55='ANNEXURE I'!B6),('ANNEXURE I'!C6),
IF(AND(INFO!C54="YES",INFO!C56=30,INFO!C55='ANNEXURE I'!B7),('ANNEXURE I'!C7),
IF(AND(INFO!C54="YES",INFO!C56=30,INFO!C55='ANNEXURE I'!B8),('ANNEXURE I'!C8),
IF(AND(INFO!C54="YES",INFO!C56=30,INFO!C55='ANNEXURE I'!B9),('ANNEXURE I'!C9),
IF(AND(INFO!C54="YES",INFO!C56=30,INFO!C55='ANNEXURE I'!B10),('ANNEXURE I'!C10),
IF(AND(INFO!C54="YES",INFO!C56=30,INFO!C55='ANNEXURE I'!B11),('ANNEXURE I'!C11),
IF(AND(INFO!C54="YES",INFO!C56=30,INFO!C55='ANNEXURE I'!B12),('ANNEXURE I'!C12),
IF(AND(INFO!C54="YES",INFO!C56=30,INFO!C55='ANNEXURE I'!B13),('ANNEXURE I'!C13),
IF(AND(INFO!C54="YES",INFO!C56=30,INFO!C55='ANNEXURE I'!B14),('ANNEXURE I'!C14),
IF(AND(INFO!C54="YES",INFO!C56=30,INFO!C55='ANNEXURE I'!B15),('ANNEXURE I'!C15),
IF(AND(INFO!C54="YES",INFO!C56=30,INFO!C55='ANNEXURE I'!B16),('ANNEXURE I'!C16),
IF(AND(INFO!C54="YES",INFO!C56=15,INFO!C55='ANNEXURE I'!B5),('ANNEXURE I'!C5/2),
IF(AND(INFO!C54="YES",INFO!C56=15,INFO!C55='ANNEXURE I'!B6),('ANNEXURE I'!C6/2),
IF(AND(INFO!C54="YES",INFO!C56=15,INFO!C55='ANNEXURE I'!B7),('ANNEXURE I'!C7/2),
IF(AND(INFO!C54="YES",INFO!C56=15,INFO!C55='ANNEXURE I'!B8),('ANNEXURE I'!C8/2),
IF(AND(INFO!C54="YES",INFO!C56=15,INFO!C55='ANNEXURE I'!B9),('ANNEXURE I'!C9/2),
IF(AND(INFO!C54="YES",INFO!C56=15,INFO!C55='ANNEXURE I'!B10),('ANNEXURE I'!C10/2),
IF(AND(INFO!C54="YES",INFO!C56=15,INFO!C55='ANNEXURE I'!B11),('ANNEXURE I'!C11/2),
IF(AND(INFO!C54="YES",INFO!C56=15,INFO!C55='ANNEXURE I'!B12),('ANNEXURE I'!C12/2),
IF(AND(INFO!C54="YES",INFO!C56=15,INFO!C55='ANNEXURE I'!B13),('ANNEXURE I'!C13/2),
IF(AND(INFO!C54="YES",INFO!C56=15,INFO!C55='ANNEXURE I'!B14),('ANNEXURE I'!C14/2),
IF(AND(INFO!C54="YES",INFO!C56=15,INFO!C55='ANNEXURE I'!B15),('ANNEXURE I'!C15/2),
IF(AND(INFO!C54="YES",INFO!C56=15,INFO!C55='ANNEXURE I'!B16),('ANNEXURE I'!C16/2),0))))))))))))))))))))))))</f>
        <v>0</v>
      </c>
      <c r="D20" s="461"/>
      <c r="E20" s="461">
        <f>IF(AND(INFO!C54="YES",INFO!C55='ANNEXURE I'!B5),(ROUND(('ANNEXURE I'!C20*'ANNEXURE I'!Y5),0)),
IF(AND(INFO!C54="YES",INFO!C55='ANNEXURE I'!B6),(ROUND(('ANNEXURE I'!C20*'ANNEXURE I'!Y6),0)),
IF(AND(INFO!C54="YES",INFO!C55='ANNEXURE I'!B7),(ROUND(('ANNEXURE I'!C20*'ANNEXURE I'!Y7),0)),
IF(AND(INFO!C54="YES",INFO!C55='ANNEXURE I'!B8),(ROUND(('ANNEXURE I'!C20*'ANNEXURE I'!Y8),0)),
IF(AND(INFO!C54="YES",INFO!C55='ANNEXURE I'!B9),(ROUND(('ANNEXURE I'!C20*'ANNEXURE I'!Y9),0)),
IF(AND(INFO!C54="YES",INFO!C55='ANNEXURE I'!B10),(ROUND(('ANNEXURE I'!C20*'ANNEXURE I'!Y10),0)),
IF(AND(INFO!C54="YES",INFO!C55='ANNEXURE I'!B11),(ROUND(('ANNEXURE I'!C20*'ANNEXURE I'!Y11),0)),
IF(AND(INFO!C54="YES",INFO!C55='ANNEXURE I'!B12),(ROUND(('ANNEXURE I'!C20*'ANNEXURE I'!Y12),0)),
IF(AND(INFO!C54="YES",INFO!C55='ANNEXURE I'!B13),(ROUND(('ANNEXURE I'!C20*'ANNEXURE I'!Y13),0)),
IF(AND(INFO!C54="YES",INFO!C55='ANNEXURE I'!B14),(ROUND(('ANNEXURE I'!C20*'ANNEXURE I'!Y14),0)),
IF(AND(INFO!C54="YES",INFO!C55='ANNEXURE I'!B15),(ROUND(('ANNEXURE I'!C20*'ANNEXURE I'!Y15),0)),
IF(AND(INFO!C54="YES",INFO!C55='ANNEXURE I'!B16),(ROUND(('ANNEXURE I'!C20*'ANNEXURE I'!Y16),0)),0))))))))))))</f>
        <v>0</v>
      </c>
      <c r="F20" s="461">
        <f>IF(AND(INFO!C54="YES",INFO!C55='ANNEXURE I'!B5),(ROUND(('ANNEXURE I'!C20*'ANNEXURE I'!X5),0)),
IF(AND(INFO!C54="YES",INFO!C55='ANNEXURE I'!B6),(ROUND(('ANNEXURE I'!C20*'ANNEXURE I'!X6),0)),
IF(AND(INFO!C54="YES",INFO!C55='ANNEXURE I'!B7),(ROUND(('ANNEXURE I'!C20*'ANNEXURE I'!X7),0)),
IF(AND(INFO!C54="YES",INFO!C55='ANNEXURE I'!B8),(ROUND(('ANNEXURE I'!C20*'ANNEXURE I'!X8),0)),
IF(AND(INFO!C54="YES",INFO!C55='ANNEXURE I'!B9),(ROUND(('ANNEXURE I'!C20*'ANNEXURE I'!X9),0)),
IF(AND(INFO!C54="YES",INFO!C55='ANNEXURE I'!B10),(ROUND(('ANNEXURE I'!C20*'ANNEXURE I'!X10),0)),
IF(AND(INFO!C54="YES",INFO!C55='ANNEXURE I'!B11),(ROUND(('ANNEXURE I'!C20*'ANNEXURE I'!X11),0)),
IF(AND(INFO!C54="YES",INFO!C55='ANNEXURE I'!B12),(ROUND(('ANNEXURE I'!C20*'ANNEXURE I'!X12),0)),
IF(AND(INFO!C54="YES",INFO!C55='ANNEXURE I'!B13),(ROUND(('ANNEXURE I'!C20*'ANNEXURE I'!X13),0)),
IF(AND(INFO!C54="YES",INFO!C55='ANNEXURE I'!B14),(ROUND(('ANNEXURE I'!C20*'ANNEXURE I'!X14),0)),
IF(AND(INFO!C54="YES",INFO!C55='ANNEXURE I'!B15),(ROUND(('ANNEXURE I'!C20*'ANNEXURE I'!X15),0)),
IF(AND(INFO!C54="YES",INFO!C55='ANNEXURE I'!B16),(ROUND(('ANNEXURE I'!C20*'ANNEXURE I'!X16),0)),0))))))))))))</f>
        <v>0</v>
      </c>
      <c r="G20" s="461"/>
      <c r="H20" s="464"/>
      <c r="I20" s="464"/>
      <c r="J20" s="464"/>
      <c r="K20" s="464"/>
      <c r="L20" s="461">
        <f t="shared" si="2"/>
        <v>0</v>
      </c>
      <c r="M20" s="461">
        <v>0</v>
      </c>
      <c r="N20" s="464"/>
      <c r="O20" s="464"/>
      <c r="P20" s="464"/>
      <c r="Q20" s="464"/>
      <c r="R20" s="464"/>
      <c r="S20" s="464"/>
      <c r="T20" s="464"/>
      <c r="U20" s="464"/>
      <c r="V20" s="461">
        <f>SUM(M20:U20)</f>
        <v>0</v>
      </c>
      <c r="W20" s="461">
        <f>L20-V20</f>
        <v>0</v>
      </c>
      <c r="X20" s="805" t="str">
        <f>IF(INFO!C54="YES",CONCATENATE("ENCASHED"," ",INFO!C56,"_EL's"),"EL's NOT ENCASHED")</f>
        <v>EL's NOT ENCASHED</v>
      </c>
      <c r="Y20" s="806"/>
    </row>
    <row r="21" spans="2:25" ht="20.100000000000001" customHeight="1" x14ac:dyDescent="0.2">
      <c r="B21" s="398" t="s">
        <v>15</v>
      </c>
      <c r="C21" s="461">
        <f>IF(INFO!K25=0,INFO!K24,INFO!K25)</f>
        <v>0</v>
      </c>
      <c r="D21" s="461"/>
      <c r="E21" s="461">
        <f>IF(INFO!L25=0,INFO!L24,INFO!L25)</f>
        <v>0</v>
      </c>
      <c r="F21" s="461">
        <f>IF(INFO!M25=0,INFO!M24,INFO!M25)</f>
        <v>0</v>
      </c>
      <c r="G21" s="461"/>
      <c r="H21" s="464"/>
      <c r="I21" s="464"/>
      <c r="J21" s="464"/>
      <c r="K21" s="464"/>
      <c r="L21" s="461">
        <f t="shared" si="2"/>
        <v>0</v>
      </c>
      <c r="M21" s="461">
        <f>IF(INFO!P25=0,INFO!P24,INFO!P25)</f>
        <v>0</v>
      </c>
      <c r="N21" s="464"/>
      <c r="O21" s="464"/>
      <c r="P21" s="464"/>
      <c r="Q21" s="464"/>
      <c r="R21" s="464"/>
      <c r="S21" s="464"/>
      <c r="T21" s="464"/>
      <c r="U21" s="464"/>
      <c r="V21" s="461">
        <f t="shared" si="3"/>
        <v>0</v>
      </c>
      <c r="W21" s="461">
        <f>L21-V21</f>
        <v>0</v>
      </c>
      <c r="X21" s="809" t="s">
        <v>294</v>
      </c>
      <c r="Y21" s="810"/>
    </row>
    <row r="22" spans="2:25" ht="20.100000000000001" customHeight="1" x14ac:dyDescent="0.2">
      <c r="B22" s="818" t="s">
        <v>403</v>
      </c>
      <c r="C22" s="819"/>
      <c r="D22" s="461"/>
      <c r="E22" s="461"/>
      <c r="F22" s="461"/>
      <c r="G22" s="461"/>
      <c r="H22" s="465"/>
      <c r="I22" s="465"/>
      <c r="J22" s="465"/>
      <c r="K22" s="465"/>
      <c r="L22" s="461">
        <f>INFO!N23</f>
        <v>0</v>
      </c>
      <c r="M22" s="461">
        <v>0</v>
      </c>
      <c r="N22" s="465"/>
      <c r="O22" s="465"/>
      <c r="P22" s="465"/>
      <c r="Q22" s="465"/>
      <c r="R22" s="465"/>
      <c r="S22" s="465"/>
      <c r="T22" s="465"/>
      <c r="U22" s="465"/>
      <c r="V22" s="461">
        <f t="shared" ref="V22" si="5">SUM(M22:U22)</f>
        <v>0</v>
      </c>
      <c r="W22" s="461">
        <f>L22-V22</f>
        <v>0</v>
      </c>
      <c r="X22" s="811" t="str">
        <f>B22</f>
        <v>Child Fee concession</v>
      </c>
      <c r="Y22" s="806"/>
    </row>
    <row r="23" spans="2:25" ht="20.100000000000001" customHeight="1" x14ac:dyDescent="0.2">
      <c r="B23" s="820" t="s">
        <v>295</v>
      </c>
      <c r="C23" s="821"/>
      <c r="D23" s="461"/>
      <c r="E23" s="461"/>
      <c r="F23" s="461"/>
      <c r="G23" s="461"/>
      <c r="H23" s="465"/>
      <c r="I23" s="465"/>
      <c r="J23" s="465"/>
      <c r="K23" s="465"/>
      <c r="L23" s="461">
        <f>INFO!C86</f>
        <v>0</v>
      </c>
      <c r="M23" s="461">
        <v>0</v>
      </c>
      <c r="N23" s="465"/>
      <c r="O23" s="465"/>
      <c r="P23" s="465"/>
      <c r="Q23" s="465"/>
      <c r="R23" s="465"/>
      <c r="S23" s="465"/>
      <c r="T23" s="465"/>
      <c r="U23" s="465"/>
      <c r="V23" s="461">
        <v>0</v>
      </c>
      <c r="W23" s="461">
        <f>L23-V23</f>
        <v>0</v>
      </c>
      <c r="X23" s="812" t="s">
        <v>295</v>
      </c>
      <c r="Y23" s="813"/>
    </row>
    <row r="24" spans="2:25" s="4" customFormat="1" ht="30" customHeight="1" x14ac:dyDescent="0.2">
      <c r="B24" s="399" t="s">
        <v>67</v>
      </c>
      <c r="C24" s="141">
        <f>SUM(C5:C23)</f>
        <v>0</v>
      </c>
      <c r="D24" s="466">
        <f t="shared" ref="D24:U24" si="6">SUM(D5:D23)</f>
        <v>0</v>
      </c>
      <c r="E24" s="466">
        <f t="shared" si="6"/>
        <v>0</v>
      </c>
      <c r="F24" s="466">
        <f>SUM(F5:F23)</f>
        <v>0</v>
      </c>
      <c r="G24" s="466">
        <f>SUM(G5:G23)</f>
        <v>0</v>
      </c>
      <c r="H24" s="466">
        <f t="shared" si="6"/>
        <v>0</v>
      </c>
      <c r="I24" s="466">
        <f t="shared" si="6"/>
        <v>0</v>
      </c>
      <c r="J24" s="466">
        <f t="shared" si="6"/>
        <v>0</v>
      </c>
      <c r="K24" s="466">
        <f t="shared" si="6"/>
        <v>0</v>
      </c>
      <c r="L24" s="466">
        <f>SUM(L5:L23)</f>
        <v>0</v>
      </c>
      <c r="M24" s="466">
        <f t="shared" si="6"/>
        <v>0</v>
      </c>
      <c r="N24" s="466">
        <f t="shared" si="6"/>
        <v>0</v>
      </c>
      <c r="O24" s="466">
        <f t="shared" si="6"/>
        <v>0</v>
      </c>
      <c r="P24" s="466">
        <f t="shared" si="6"/>
        <v>0</v>
      </c>
      <c r="Q24" s="466">
        <f t="shared" si="6"/>
        <v>0</v>
      </c>
      <c r="R24" s="466">
        <f t="shared" si="6"/>
        <v>70</v>
      </c>
      <c r="S24" s="466">
        <f t="shared" si="6"/>
        <v>0</v>
      </c>
      <c r="T24" s="466">
        <f t="shared" si="6"/>
        <v>0</v>
      </c>
      <c r="U24" s="466">
        <f t="shared" si="6"/>
        <v>0</v>
      </c>
      <c r="V24" s="466">
        <f>SUM(V5:V23)</f>
        <v>70</v>
      </c>
      <c r="W24" s="466">
        <f>SUM(W5:W23)</f>
        <v>-70</v>
      </c>
      <c r="X24" s="814"/>
      <c r="Y24" s="815"/>
    </row>
    <row r="25" spans="2:25" s="4" customFormat="1" ht="54.95" customHeight="1" thickBot="1" x14ac:dyDescent="0.25">
      <c r="B25" s="400"/>
      <c r="C25" s="802" t="s">
        <v>142</v>
      </c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 t="s">
        <v>266</v>
      </c>
      <c r="O25" s="802"/>
      <c r="P25" s="802"/>
      <c r="Q25" s="802"/>
      <c r="R25" s="802"/>
      <c r="S25" s="802"/>
      <c r="T25" s="802"/>
      <c r="U25" s="802"/>
      <c r="V25" s="802"/>
      <c r="W25" s="802"/>
      <c r="X25" s="401"/>
      <c r="Y25" s="402"/>
    </row>
    <row r="26" spans="2:25" ht="20.100000000000001" customHeight="1" thickTop="1" x14ac:dyDescent="0.2">
      <c r="B26" s="106"/>
      <c r="C26" s="107"/>
      <c r="D26" s="107"/>
      <c r="E26" s="801" t="s">
        <v>68</v>
      </c>
      <c r="F26" s="801"/>
      <c r="G26" s="801"/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1"/>
      <c r="S26" s="801"/>
      <c r="T26" s="801"/>
      <c r="U26" s="801"/>
      <c r="V26" s="107"/>
      <c r="W26" s="106"/>
      <c r="X26" s="106"/>
      <c r="Y26" s="106"/>
    </row>
    <row r="31" spans="2:25" x14ac:dyDescent="0.2">
      <c r="D31" s="64"/>
      <c r="E31" s="64"/>
    </row>
  </sheetData>
  <sheetProtection algorithmName="SHA-512" hashValue="s+fnua5Olx0y4qtBlUi43w3FAU/SgJcSRuLXmaLlsUZi8GvgPe5+rDNtohSkw1iBLbDJ7tEsX5mNr7XE+BwXeg==" saltValue="LzOyLaaYxohSr5jrmdlF5g==" spinCount="100000" sheet="1" objects="1" scenarios="1" selectLockedCells="1" selectUnlockedCells="1"/>
  <mergeCells count="15">
    <mergeCell ref="E26:U26"/>
    <mergeCell ref="C25:M25"/>
    <mergeCell ref="N25:W25"/>
    <mergeCell ref="C2:Y2"/>
    <mergeCell ref="X20:Y20"/>
    <mergeCell ref="X17:Y17"/>
    <mergeCell ref="X18:Y18"/>
    <mergeCell ref="X19:Y19"/>
    <mergeCell ref="X21:Y21"/>
    <mergeCell ref="X22:Y22"/>
    <mergeCell ref="X23:Y23"/>
    <mergeCell ref="X24:Y24"/>
    <mergeCell ref="C3:Y3"/>
    <mergeCell ref="B22:C22"/>
    <mergeCell ref="B23:C23"/>
  </mergeCells>
  <conditionalFormatting sqref="X5:X16">
    <cfRule type="uniqueValues" dxfId="3" priority="1"/>
  </conditionalFormatting>
  <printOptions horizontalCentered="1" verticalCentered="1"/>
  <pageMargins left="0.31496062992126" right="0.27559055118110198" top="0.31496062992126" bottom="0.31496062992126" header="0.39370078740157499" footer="0.31496062992126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1:J64"/>
  <sheetViews>
    <sheetView showGridLines="0" showRowColHeaders="0" zoomScaleNormal="100" zoomScaleSheetLayoutView="100" zoomScalePageLayoutView="60" workbookViewId="0" xr3:uid="{842E5F09-E766-5B8D-85AF-A39847EA96FD}">
      <pane xSplit="1" ySplit="7" topLeftCell="B8" activePane="bottomRight" state="frozen"/>
      <selection pane="bottomLeft" activeCell="A8" sqref="A8"/>
      <selection pane="topRight" activeCell="B1" sqref="B1"/>
      <selection pane="bottomRight" activeCell="E3" sqref="E3:G3"/>
    </sheetView>
  </sheetViews>
  <sheetFormatPr defaultColWidth="9.14453125" defaultRowHeight="15" x14ac:dyDescent="0.2"/>
  <cols>
    <col min="1" max="1" width="1.34375" style="6" customWidth="1"/>
    <col min="2" max="2" width="3.765625" style="5" customWidth="1"/>
    <col min="3" max="3" width="3.765625" style="6" customWidth="1"/>
    <col min="4" max="4" width="14.66015625" style="6" customWidth="1"/>
    <col min="5" max="5" width="21.25390625" style="6" customWidth="1"/>
    <col min="6" max="6" width="14.66015625" style="7" customWidth="1"/>
    <col min="7" max="7" width="15.73828125" style="6" customWidth="1"/>
    <col min="8" max="8" width="14.2578125" style="8" customWidth="1"/>
    <col min="9" max="9" width="14.2578125" style="9" customWidth="1"/>
    <col min="10" max="16384" width="9.14453125" style="6"/>
  </cols>
  <sheetData>
    <row r="1" spans="2:9" ht="3" customHeight="1" thickBot="1" x14ac:dyDescent="0.25"/>
    <row r="2" spans="2:9" ht="15.95" customHeight="1" thickTop="1" x14ac:dyDescent="0.2">
      <c r="B2" s="885" t="s">
        <v>71</v>
      </c>
      <c r="C2" s="873"/>
      <c r="D2" s="873"/>
      <c r="E2" s="893" t="s">
        <v>232</v>
      </c>
      <c r="F2" s="893"/>
      <c r="G2" s="893"/>
      <c r="H2" s="873" t="s">
        <v>72</v>
      </c>
      <c r="I2" s="874"/>
    </row>
    <row r="3" spans="2:9" ht="20.100000000000001" customHeight="1" thickBot="1" x14ac:dyDescent="0.25">
      <c r="B3" s="886" t="s">
        <v>73</v>
      </c>
      <c r="C3" s="887"/>
      <c r="D3" s="887"/>
      <c r="E3" s="892" t="s">
        <v>74</v>
      </c>
      <c r="F3" s="892"/>
      <c r="G3" s="892"/>
      <c r="H3" s="875" t="s">
        <v>75</v>
      </c>
      <c r="I3" s="876"/>
    </row>
    <row r="4" spans="2:9" ht="15.95" customHeight="1" x14ac:dyDescent="0.2">
      <c r="B4" s="888" t="s">
        <v>296</v>
      </c>
      <c r="C4" s="889"/>
      <c r="D4" s="883" t="str">
        <f>UPPER(INFO!B2)</f>
        <v/>
      </c>
      <c r="E4" s="883"/>
      <c r="F4" s="877" t="str">
        <f>CONCATENATE("Employee I.D.    :  ",UPPER(INFO!B3))</f>
        <v xml:space="preserve">Employee I.D.    :  </v>
      </c>
      <c r="G4" s="877"/>
      <c r="H4" s="883" t="str">
        <f>CONCATENATE(UPPER(INFO!B8),"_Village")</f>
        <v>_Village</v>
      </c>
      <c r="I4" s="884"/>
    </row>
    <row r="5" spans="2:9" ht="15.95" customHeight="1" x14ac:dyDescent="0.2">
      <c r="B5" s="890" t="str">
        <f>UPPER(INFO!B6)</f>
        <v/>
      </c>
      <c r="C5" s="891"/>
      <c r="D5" s="891"/>
      <c r="E5" s="891"/>
      <c r="F5" s="877" t="str">
        <f>CONCATENATE("Employee PAN : ",UPPER(INFO!B4))</f>
        <v xml:space="preserve">Employee PAN : </v>
      </c>
      <c r="G5" s="877"/>
      <c r="H5" s="896" t="str">
        <f>CONCATENATE(UPPER(INFO!B9),"_Mdl")</f>
        <v>_Mdl</v>
      </c>
      <c r="I5" s="897"/>
    </row>
    <row r="6" spans="2:9" ht="15.95" customHeight="1" thickBot="1" x14ac:dyDescent="0.25">
      <c r="B6" s="878" t="str">
        <f>UPPER(INFO!B7)</f>
        <v/>
      </c>
      <c r="C6" s="879"/>
      <c r="D6" s="879"/>
      <c r="E6" s="879"/>
      <c r="F6" s="880" t="str">
        <f>CONCATENATE("Emp.Aadhar No. : ",INFO!B5)</f>
        <v xml:space="preserve">Emp.Aadhar No. : </v>
      </c>
      <c r="G6" s="880"/>
      <c r="H6" s="898" t="str">
        <f>CONCATENATE(UPPER(INFO!B10),"_Dist.")</f>
        <v>_Dist.</v>
      </c>
      <c r="I6" s="899"/>
    </row>
    <row r="7" spans="2:9" ht="18" customHeight="1" x14ac:dyDescent="0.2">
      <c r="B7" s="335">
        <v>1</v>
      </c>
      <c r="C7" s="871" t="s">
        <v>76</v>
      </c>
      <c r="D7" s="872"/>
      <c r="E7" s="132"/>
      <c r="F7" s="881" t="str">
        <f>IF(INFO!C90=0,CONCATENATE("LIVING IN  : ","OWN HOUSE"),CONCATENATE("LIVING IN  : ","RENTED HOUSE"))</f>
        <v>LIVING IN  : OWN HOUSE</v>
      </c>
      <c r="G7" s="882"/>
      <c r="H7" s="303">
        <f>'ANNEXURE I'!L24</f>
        <v>0</v>
      </c>
      <c r="I7" s="336">
        <f>H7</f>
        <v>0</v>
      </c>
    </row>
    <row r="8" spans="2:9" x14ac:dyDescent="0.2">
      <c r="B8" s="337">
        <v>2</v>
      </c>
      <c r="C8" s="842" t="s">
        <v>77</v>
      </c>
      <c r="D8" s="838"/>
      <c r="E8" s="838"/>
      <c r="F8" s="58" t="s">
        <v>78</v>
      </c>
      <c r="G8" s="59">
        <f>ROUND(F10*12,0)</f>
        <v>0</v>
      </c>
      <c r="H8" s="304"/>
      <c r="I8" s="338"/>
    </row>
    <row r="9" spans="2:9" x14ac:dyDescent="0.2">
      <c r="B9" s="337"/>
      <c r="C9" s="22" t="s">
        <v>79</v>
      </c>
      <c r="D9" s="826" t="s">
        <v>80</v>
      </c>
      <c r="E9" s="826"/>
      <c r="F9" s="60" t="s">
        <v>81</v>
      </c>
      <c r="G9" s="61">
        <f>ROUND(('ANNEXURE I'!C24+'ANNEXURE I'!E24)*10%,0)</f>
        <v>0</v>
      </c>
      <c r="H9" s="304">
        <f>'ANNEXURE I'!F24+'ANNEXURE I'!G24</f>
        <v>0</v>
      </c>
      <c r="I9" s="338"/>
    </row>
    <row r="10" spans="2:9" x14ac:dyDescent="0.2">
      <c r="B10" s="337"/>
      <c r="C10" s="22" t="s">
        <v>82</v>
      </c>
      <c r="D10" s="826" t="s">
        <v>244</v>
      </c>
      <c r="E10" s="826"/>
      <c r="F10" s="62">
        <f>INFO!C90</f>
        <v>0</v>
      </c>
      <c r="G10" s="63">
        <f>IF(AND(G8=0),0,IF(AND(G8&lt;G9),(G8-G9),(G8-G9)))</f>
        <v>0</v>
      </c>
      <c r="H10" s="304">
        <f>G10</f>
        <v>0</v>
      </c>
      <c r="I10" s="338"/>
    </row>
    <row r="11" spans="2:9" x14ac:dyDescent="0.2">
      <c r="B11" s="335"/>
      <c r="C11" s="22" t="s">
        <v>83</v>
      </c>
      <c r="D11" s="857" t="s">
        <v>84</v>
      </c>
      <c r="E11" s="857"/>
      <c r="F11" s="858"/>
      <c r="G11" s="100"/>
      <c r="H11" s="305">
        <f>ROUND(('ANNEXURE I'!C24+'ANNEXURE I'!E24)*40%,0)</f>
        <v>0</v>
      </c>
      <c r="I11" s="338">
        <f>MIN(H9:H11)</f>
        <v>0</v>
      </c>
    </row>
    <row r="12" spans="2:9" x14ac:dyDescent="0.2">
      <c r="B12" s="337">
        <v>3</v>
      </c>
      <c r="C12" s="842" t="s">
        <v>85</v>
      </c>
      <c r="D12" s="838"/>
      <c r="E12" s="839"/>
      <c r="F12" s="98" t="s">
        <v>86</v>
      </c>
      <c r="G12" s="12"/>
      <c r="H12" s="305"/>
      <c r="I12" s="338">
        <f>I7-I11</f>
        <v>0</v>
      </c>
    </row>
    <row r="13" spans="2:9" x14ac:dyDescent="0.2">
      <c r="B13" s="337">
        <v>4</v>
      </c>
      <c r="C13" s="842" t="s">
        <v>87</v>
      </c>
      <c r="D13" s="838"/>
      <c r="E13" s="838"/>
      <c r="F13" s="13"/>
      <c r="G13" s="13"/>
      <c r="H13" s="305"/>
      <c r="I13" s="338"/>
    </row>
    <row r="14" spans="2:9" x14ac:dyDescent="0.2">
      <c r="B14" s="335"/>
      <c r="C14" s="22" t="s">
        <v>79</v>
      </c>
      <c r="D14" s="826" t="s">
        <v>88</v>
      </c>
      <c r="E14" s="826"/>
      <c r="F14" s="826"/>
      <c r="G14" s="97"/>
      <c r="H14" s="305">
        <f>'ANNEXURE I'!H24</f>
        <v>0</v>
      </c>
      <c r="I14" s="338"/>
    </row>
    <row r="15" spans="2:9" x14ac:dyDescent="0.2">
      <c r="B15" s="335"/>
      <c r="C15" s="19" t="s">
        <v>82</v>
      </c>
      <c r="D15" s="826" t="s">
        <v>89</v>
      </c>
      <c r="E15" s="826"/>
      <c r="F15" s="21"/>
      <c r="G15" s="14"/>
      <c r="H15" s="305">
        <f>'ANNEXURE I'!P24</f>
        <v>0</v>
      </c>
      <c r="I15" s="338">
        <f>SUM(H14:H15)</f>
        <v>0</v>
      </c>
    </row>
    <row r="16" spans="2:9" x14ac:dyDescent="0.2">
      <c r="B16" s="335">
        <v>5</v>
      </c>
      <c r="C16" s="842" t="s">
        <v>90</v>
      </c>
      <c r="D16" s="838"/>
      <c r="E16" s="839"/>
      <c r="F16" s="15" t="s">
        <v>91</v>
      </c>
      <c r="G16" s="16"/>
      <c r="H16" s="305"/>
      <c r="I16" s="338">
        <f>I12-I15</f>
        <v>0</v>
      </c>
    </row>
    <row r="17" spans="2:9" x14ac:dyDescent="0.2">
      <c r="B17" s="335">
        <v>6</v>
      </c>
      <c r="C17" s="826" t="s">
        <v>92</v>
      </c>
      <c r="D17" s="826"/>
      <c r="E17" s="827"/>
      <c r="F17" s="16" t="s">
        <v>93</v>
      </c>
      <c r="G17" s="14"/>
      <c r="H17" s="305">
        <f>INFO!C79</f>
        <v>0</v>
      </c>
      <c r="I17" s="338"/>
    </row>
    <row r="18" spans="2:9" x14ac:dyDescent="0.2">
      <c r="B18" s="335">
        <v>7</v>
      </c>
      <c r="C18" s="826" t="s">
        <v>94</v>
      </c>
      <c r="D18" s="826"/>
      <c r="E18" s="827"/>
      <c r="F18" s="16" t="s">
        <v>93</v>
      </c>
      <c r="G18" s="14"/>
      <c r="H18" s="305">
        <f>INFO!C80</f>
        <v>0</v>
      </c>
      <c r="I18" s="338"/>
    </row>
    <row r="19" spans="2:9" x14ac:dyDescent="0.2">
      <c r="B19" s="335">
        <v>8</v>
      </c>
      <c r="C19" s="826" t="s">
        <v>95</v>
      </c>
      <c r="D19" s="826"/>
      <c r="E19" s="827"/>
      <c r="F19" s="16" t="s">
        <v>93</v>
      </c>
      <c r="G19" s="14"/>
      <c r="H19" s="305">
        <f>INFO!C81</f>
        <v>0</v>
      </c>
      <c r="I19" s="338">
        <f>SUM(H17:H19)</f>
        <v>0</v>
      </c>
    </row>
    <row r="20" spans="2:9" x14ac:dyDescent="0.2">
      <c r="B20" s="335">
        <v>9</v>
      </c>
      <c r="C20" s="838" t="s">
        <v>96</v>
      </c>
      <c r="D20" s="838"/>
      <c r="E20" s="839"/>
      <c r="F20" s="17" t="s">
        <v>97</v>
      </c>
      <c r="G20" s="18"/>
      <c r="H20" s="305"/>
      <c r="I20" s="338">
        <f>SUM(I16,I19)</f>
        <v>0</v>
      </c>
    </row>
    <row r="21" spans="2:9" x14ac:dyDescent="0.2">
      <c r="B21" s="335">
        <v>10</v>
      </c>
      <c r="C21" s="842" t="s">
        <v>98</v>
      </c>
      <c r="D21" s="838"/>
      <c r="E21" s="838"/>
      <c r="F21" s="838"/>
      <c r="G21" s="838"/>
      <c r="H21" s="305"/>
      <c r="I21" s="338"/>
    </row>
    <row r="22" spans="2:9" x14ac:dyDescent="0.2">
      <c r="B22" s="335"/>
      <c r="C22" s="19" t="s">
        <v>79</v>
      </c>
      <c r="D22" s="857" t="s">
        <v>99</v>
      </c>
      <c r="E22" s="858"/>
      <c r="F22" s="20"/>
      <c r="G22" s="21"/>
      <c r="H22" s="305">
        <f>'ANNEXURE I'!R24</f>
        <v>70</v>
      </c>
      <c r="I22" s="338"/>
    </row>
    <row r="23" spans="2:9" x14ac:dyDescent="0.2">
      <c r="B23" s="335"/>
      <c r="C23" s="22" t="s">
        <v>82</v>
      </c>
      <c r="D23" s="826" t="str">
        <f>INFO!B82</f>
        <v>Interest of educational loan u/s 24(B)</v>
      </c>
      <c r="E23" s="827"/>
      <c r="F23" s="20"/>
      <c r="G23" s="21"/>
      <c r="H23" s="305">
        <f>INFO!C82</f>
        <v>0</v>
      </c>
      <c r="I23" s="338"/>
    </row>
    <row r="24" spans="2:9" x14ac:dyDescent="0.2">
      <c r="B24" s="335"/>
      <c r="C24" s="22" t="s">
        <v>83</v>
      </c>
      <c r="D24" s="826" t="str">
        <f>INFO!B83</f>
        <v>Interest of housing loan u/s 80E</v>
      </c>
      <c r="E24" s="827"/>
      <c r="F24" s="20"/>
      <c r="G24" s="21"/>
      <c r="H24" s="305">
        <f>INFO!C83</f>
        <v>0</v>
      </c>
      <c r="I24" s="338"/>
    </row>
    <row r="25" spans="2:9" x14ac:dyDescent="0.2">
      <c r="B25" s="335"/>
      <c r="C25" s="22" t="s">
        <v>100</v>
      </c>
      <c r="D25" s="826" t="str">
        <f>INFO!B84</f>
        <v>Deductions for Disabled u/s 80U</v>
      </c>
      <c r="E25" s="827"/>
      <c r="F25" s="849" t="s">
        <v>101</v>
      </c>
      <c r="G25" s="850"/>
      <c r="H25" s="305">
        <f>INFO!C84</f>
        <v>0</v>
      </c>
      <c r="I25" s="338"/>
    </row>
    <row r="26" spans="2:9" x14ac:dyDescent="0.2">
      <c r="B26" s="335"/>
      <c r="C26" s="19" t="s">
        <v>102</v>
      </c>
      <c r="D26" s="826" t="str">
        <f>INFO!B85</f>
        <v>Medical Insurance premium u/s 80D</v>
      </c>
      <c r="E26" s="827"/>
      <c r="F26" s="21"/>
      <c r="G26" s="21"/>
      <c r="H26" s="305">
        <f>INFO!C85</f>
        <v>0</v>
      </c>
      <c r="I26" s="338"/>
    </row>
    <row r="27" spans="2:9" x14ac:dyDescent="0.2">
      <c r="B27" s="335"/>
      <c r="C27" s="22" t="s">
        <v>103</v>
      </c>
      <c r="D27" s="826" t="s">
        <v>243</v>
      </c>
      <c r="E27" s="826"/>
      <c r="F27" s="21"/>
      <c r="G27" s="21"/>
      <c r="H27" s="305">
        <f>'ANNEXURE I'!Q24</f>
        <v>0</v>
      </c>
      <c r="I27" s="338"/>
    </row>
    <row r="28" spans="2:9" x14ac:dyDescent="0.2">
      <c r="B28" s="335"/>
      <c r="C28" s="864" t="s">
        <v>67</v>
      </c>
      <c r="D28" s="865"/>
      <c r="E28" s="866"/>
      <c r="F28" s="852"/>
      <c r="G28" s="853"/>
      <c r="H28" s="305"/>
      <c r="I28" s="338">
        <f>SUM(H22:H27)</f>
        <v>70</v>
      </c>
    </row>
    <row r="29" spans="2:9" x14ac:dyDescent="0.2">
      <c r="B29" s="335">
        <v>11</v>
      </c>
      <c r="C29" s="865" t="s">
        <v>96</v>
      </c>
      <c r="D29" s="865"/>
      <c r="E29" s="866"/>
      <c r="F29" s="15" t="s">
        <v>104</v>
      </c>
      <c r="G29" s="23"/>
      <c r="H29" s="305"/>
      <c r="I29" s="338">
        <f>I20-I28</f>
        <v>-70</v>
      </c>
    </row>
    <row r="30" spans="2:9" x14ac:dyDescent="0.2">
      <c r="B30" s="335">
        <v>12</v>
      </c>
      <c r="C30" s="864" t="s">
        <v>105</v>
      </c>
      <c r="D30" s="865"/>
      <c r="E30" s="92" t="s">
        <v>106</v>
      </c>
      <c r="F30" s="867"/>
      <c r="G30" s="868"/>
      <c r="H30" s="305"/>
      <c r="I30" s="338"/>
    </row>
    <row r="31" spans="2:9" x14ac:dyDescent="0.2">
      <c r="B31" s="335"/>
      <c r="C31" s="22" t="s">
        <v>79</v>
      </c>
      <c r="D31" s="826" t="s">
        <v>108</v>
      </c>
      <c r="E31" s="826"/>
      <c r="F31" s="434" t="str">
        <f>IF(AND(INFO!C14="CPS",INFO!C16="YES"),"CPS TOTAL  =","")</f>
        <v/>
      </c>
      <c r="G31" s="435" t="str">
        <f>IF(AND(INFO!C14="CPS",INFO!C16="YES"),'ANNEXURE I'!M24,"")</f>
        <v/>
      </c>
      <c r="H31" s="304">
        <f>IF(AND(INFO!C14="CPS",INFO!C16="YES"),'ANNEXURE II'!G32,'ANNEXURE I'!M24)</f>
        <v>0</v>
      </c>
      <c r="I31" s="338"/>
    </row>
    <row r="32" spans="2:9" x14ac:dyDescent="0.2">
      <c r="B32" s="335"/>
      <c r="C32" s="22" t="s">
        <v>82</v>
      </c>
      <c r="D32" s="826" t="s">
        <v>0</v>
      </c>
      <c r="E32" s="826"/>
      <c r="F32" s="434" t="str">
        <f>IF(AND(INFO!C14="CPS",INFO!C16="YES"),"80CCD (1)      =","")</f>
        <v/>
      </c>
      <c r="G32" s="435" t="str">
        <f>IF(AND(INFO!C14="CPS",INFO!C16="YES"),IF(AND(G39&lt;=150000,G31&lt;=50000),G31,IF(AND(G39&lt;150000,G31&gt;100000,(G39-G31)&lt;150000),100000,
IF(AND(G39&gt;150000,G31&lt;=50000,(G39-G31)&lt;150000),(150000-(G39-G31)),IF(AND(G39&gt;150000,G31&gt;50000,(G39-G31)&lt;150000),(150000-(G39-G31)),
IF(AND(G39&gt;150000,G31&lt;50000,(G39-G31)&gt;150000),0,IF(AND(G39&lt;=150000,G31&gt;50000,(G39-G31)&lt;150000),G31,0)))))),"")</f>
        <v/>
      </c>
      <c r="H32" s="304">
        <f>'ANNEXURE I'!N24</f>
        <v>0</v>
      </c>
      <c r="I32" s="338"/>
    </row>
    <row r="33" spans="2:10" x14ac:dyDescent="0.2">
      <c r="B33" s="335"/>
      <c r="C33" s="22" t="s">
        <v>83</v>
      </c>
      <c r="D33" s="826" t="s">
        <v>1</v>
      </c>
      <c r="E33" s="826"/>
      <c r="F33" s="434" t="str">
        <f>IF(AND(INFO!C14="CPS",INFO!C16="YES"),"80CCD (1)(B) =","")</f>
        <v/>
      </c>
      <c r="G33" s="435" t="str">
        <f>IF(AND(INFO!C14="CPS",INFO!C16="YES"),G31-G32,"")</f>
        <v/>
      </c>
      <c r="H33" s="304">
        <f>'ANNEXURE I'!O24</f>
        <v>0</v>
      </c>
      <c r="I33" s="338"/>
    </row>
    <row r="34" spans="2:10" x14ac:dyDescent="0.2">
      <c r="B34" s="335"/>
      <c r="C34" s="22" t="s">
        <v>100</v>
      </c>
      <c r="D34" s="826" t="str">
        <f>IF('ANNEXURE I'!T24&gt;0,CONCATENATE(INFO!B91,"  and  S.S.S (L.I.C.)"),IF('ANNEXURE I'!T24=0,INFO!B91))</f>
        <v>LIC PREMIUMS (BY HAND)</v>
      </c>
      <c r="E34" s="826"/>
      <c r="F34" s="826"/>
      <c r="G34" s="827"/>
      <c r="H34" s="305">
        <f>INFO!C91+'ANNEXURE I'!T24</f>
        <v>0</v>
      </c>
      <c r="I34" s="338"/>
    </row>
    <row r="35" spans="2:10" x14ac:dyDescent="0.2">
      <c r="B35" s="335"/>
      <c r="C35" s="22" t="s">
        <v>102</v>
      </c>
      <c r="D35" s="826" t="str">
        <f>INFO!B92</f>
        <v>POSTAL LIFE INSURANCE (PLI/RPLI)</v>
      </c>
      <c r="E35" s="826"/>
      <c r="F35" s="852"/>
      <c r="G35" s="853"/>
      <c r="H35" s="305">
        <f>INFO!C92</f>
        <v>0</v>
      </c>
      <c r="I35" s="338"/>
    </row>
    <row r="36" spans="2:10" x14ac:dyDescent="0.2">
      <c r="B36" s="335"/>
      <c r="C36" s="19" t="s">
        <v>103</v>
      </c>
      <c r="D36" s="826" t="str">
        <f>INFO!B93</f>
        <v>SUKANYA SAMRIDHI YOJANA</v>
      </c>
      <c r="E36" s="826"/>
      <c r="F36" s="852"/>
      <c r="G36" s="853"/>
      <c r="H36" s="305">
        <f>INFO!C93</f>
        <v>0</v>
      </c>
      <c r="I36" s="338"/>
    </row>
    <row r="37" spans="2:10" x14ac:dyDescent="0.2">
      <c r="B37" s="335"/>
      <c r="C37" s="22" t="s">
        <v>109</v>
      </c>
      <c r="D37" s="826" t="str">
        <f>INFO!B94</f>
        <v>SBI LIFE INSURANCE</v>
      </c>
      <c r="E37" s="826"/>
      <c r="F37" s="852"/>
      <c r="G37" s="853"/>
      <c r="H37" s="305">
        <f>INFO!C94</f>
        <v>0</v>
      </c>
      <c r="I37" s="338"/>
      <c r="J37" s="10"/>
    </row>
    <row r="38" spans="2:10" x14ac:dyDescent="0.2">
      <c r="B38" s="335"/>
      <c r="C38" s="22" t="s">
        <v>110</v>
      </c>
      <c r="D38" s="826" t="str">
        <f>INFO!B95</f>
        <v>PUBLIC PROVIDENT FUND</v>
      </c>
      <c r="E38" s="826"/>
      <c r="F38" s="854"/>
      <c r="G38" s="855"/>
      <c r="H38" s="305">
        <f>INFO!C95</f>
        <v>0</v>
      </c>
      <c r="I38" s="338"/>
      <c r="J38" s="10"/>
    </row>
    <row r="39" spans="2:10" x14ac:dyDescent="0.2">
      <c r="B39" s="335"/>
      <c r="C39" s="22" t="s">
        <v>111</v>
      </c>
      <c r="D39" s="826" t="str">
        <f>INFO!B96</f>
        <v>TUTION FEE FOR CHILDREN</v>
      </c>
      <c r="E39" s="826"/>
      <c r="F39" s="436" t="str">
        <f>IF(AND(INFO!C14="CPS",INFO!C16="YES"),"80C+80CCD(1B)=","")</f>
        <v/>
      </c>
      <c r="G39" s="435" t="str">
        <f>IF(AND(INFO!C14="CPS",INFO!C16="YES"),G31+SUM(H32:H40),"")</f>
        <v/>
      </c>
      <c r="H39" s="304">
        <f>INFO!C96</f>
        <v>0</v>
      </c>
      <c r="I39" s="338"/>
      <c r="J39" s="10"/>
    </row>
    <row r="40" spans="2:10" ht="15.75" customHeight="1" x14ac:dyDescent="0.2">
      <c r="B40" s="335"/>
      <c r="C40" s="22" t="s">
        <v>112</v>
      </c>
      <c r="D40" s="857" t="str">
        <f>UPPER(INFO!B97)</f>
        <v>PRINCIPLE AMOUNT OF HOME LOAN INSTALLMENTS</v>
      </c>
      <c r="E40" s="857"/>
      <c r="F40" s="857"/>
      <c r="G40" s="858"/>
      <c r="H40" s="304">
        <f>INFO!C97</f>
        <v>0</v>
      </c>
      <c r="I40" s="338"/>
      <c r="J40" s="10"/>
    </row>
    <row r="41" spans="2:10" x14ac:dyDescent="0.2">
      <c r="B41" s="335"/>
      <c r="C41" s="845" t="s">
        <v>113</v>
      </c>
      <c r="D41" s="845"/>
      <c r="E41" s="126" t="s">
        <v>114</v>
      </c>
      <c r="F41" s="856" t="s">
        <v>107</v>
      </c>
      <c r="G41" s="856"/>
      <c r="H41" s="305">
        <f>SUM(H31:H40)</f>
        <v>0</v>
      </c>
      <c r="I41" s="339">
        <f>IF(H41&lt;=150000, H41, 150000)</f>
        <v>0</v>
      </c>
      <c r="J41" s="10"/>
    </row>
    <row r="42" spans="2:10" x14ac:dyDescent="0.2">
      <c r="B42" s="335"/>
      <c r="C42" s="838" t="s">
        <v>115</v>
      </c>
      <c r="D42" s="838"/>
      <c r="E42" s="861"/>
      <c r="F42" s="849" t="s">
        <v>116</v>
      </c>
      <c r="G42" s="850"/>
      <c r="H42" s="305">
        <f>IF(AND(INFO!C14="CPS",INFO!C16="YES"),'ANNEXURE II'!G33,0)</f>
        <v>0</v>
      </c>
      <c r="I42" s="339">
        <f>IF(H42&gt;50000, 50000,H42)</f>
        <v>0</v>
      </c>
      <c r="J42" s="10"/>
    </row>
    <row r="43" spans="2:10" x14ac:dyDescent="0.2">
      <c r="B43" s="335">
        <v>13</v>
      </c>
      <c r="C43" s="862" t="s">
        <v>117</v>
      </c>
      <c r="D43" s="862"/>
      <c r="E43" s="863"/>
      <c r="F43" s="15" t="s">
        <v>118</v>
      </c>
      <c r="G43" s="869" t="s">
        <v>655</v>
      </c>
      <c r="H43" s="870"/>
      <c r="I43" s="501">
        <f>ROUND(I29-(I41+I42),-1)</f>
        <v>-70</v>
      </c>
      <c r="J43" s="10"/>
    </row>
    <row r="44" spans="2:10" x14ac:dyDescent="0.2">
      <c r="B44" s="335">
        <v>14</v>
      </c>
      <c r="C44" s="851" t="s">
        <v>119</v>
      </c>
      <c r="D44" s="826"/>
      <c r="E44" s="93" t="s">
        <v>120</v>
      </c>
      <c r="F44" s="23"/>
      <c r="G44" s="859" t="str">
        <f>CONCATENATE("( ",I43," - 250000 = ",I44, " )")</f>
        <v>( -70 - 250000 = -250070 )</v>
      </c>
      <c r="H44" s="860"/>
      <c r="I44" s="338">
        <f>I43-250000</f>
        <v>-250070</v>
      </c>
      <c r="J44" s="10"/>
    </row>
    <row r="45" spans="2:10" x14ac:dyDescent="0.2">
      <c r="B45" s="335"/>
      <c r="C45" s="24" t="s">
        <v>79</v>
      </c>
      <c r="D45" s="334" t="s">
        <v>121</v>
      </c>
      <c r="E45" s="173" t="s">
        <v>122</v>
      </c>
      <c r="F45" s="499">
        <f>IF(AND(I43&lt;=250000),0,250000)</f>
        <v>0</v>
      </c>
      <c r="G45" s="502">
        <v>0</v>
      </c>
      <c r="H45" s="305">
        <f>ROUND(F45*G45,0)</f>
        <v>0</v>
      </c>
      <c r="I45" s="338"/>
      <c r="J45" s="10"/>
    </row>
    <row r="46" spans="2:10" x14ac:dyDescent="0.2">
      <c r="B46" s="335"/>
      <c r="C46" s="24" t="s">
        <v>82</v>
      </c>
      <c r="D46" s="334" t="s">
        <v>123</v>
      </c>
      <c r="E46" s="173" t="s">
        <v>124</v>
      </c>
      <c r="F46" s="500">
        <f>IF(AND(I43&gt;250000,I43&lt;500000),(I43-F45),IF(AND(I43&gt;500000),250000,0))</f>
        <v>0</v>
      </c>
      <c r="G46" s="502">
        <v>0.05</v>
      </c>
      <c r="H46" s="305">
        <f>ROUND(F46*G46,0)</f>
        <v>0</v>
      </c>
      <c r="I46" s="338"/>
      <c r="J46" s="10"/>
    </row>
    <row r="47" spans="2:10" x14ac:dyDescent="0.2">
      <c r="B47" s="335"/>
      <c r="C47" s="24" t="s">
        <v>83</v>
      </c>
      <c r="D47" s="334" t="s">
        <v>125</v>
      </c>
      <c r="E47" s="173" t="s">
        <v>126</v>
      </c>
      <c r="F47" s="500">
        <f>IF(AND(I43&gt;=500000,I43&lt;1000000),I43-(F45+F46),IF(AND(I43&gt;1000000),500000,0))</f>
        <v>0</v>
      </c>
      <c r="G47" s="502">
        <v>0.2</v>
      </c>
      <c r="H47" s="305">
        <f>ROUND(F47*G47,0)</f>
        <v>0</v>
      </c>
      <c r="I47" s="338"/>
      <c r="J47" s="10"/>
    </row>
    <row r="48" spans="2:10" x14ac:dyDescent="0.2">
      <c r="B48" s="335"/>
      <c r="C48" s="24" t="s">
        <v>100</v>
      </c>
      <c r="D48" s="334" t="s">
        <v>127</v>
      </c>
      <c r="E48" s="173" t="s">
        <v>376</v>
      </c>
      <c r="F48" s="500">
        <f>IF(AND(I43&gt;1000000),(I43-1000000),0)</f>
        <v>0</v>
      </c>
      <c r="G48" s="502">
        <v>0.3</v>
      </c>
      <c r="H48" s="305">
        <f>ROUND(F48*G48,0)</f>
        <v>0</v>
      </c>
      <c r="I48" s="338"/>
      <c r="J48" s="10"/>
    </row>
    <row r="49" spans="2:10" x14ac:dyDescent="0.2">
      <c r="B49" s="337"/>
      <c r="C49" s="845" t="s">
        <v>128</v>
      </c>
      <c r="D49" s="845"/>
      <c r="E49" s="25" t="s">
        <v>129</v>
      </c>
      <c r="F49" s="846"/>
      <c r="G49" s="847"/>
      <c r="H49" s="305"/>
      <c r="I49" s="338">
        <f>SUM(H45:H48)</f>
        <v>0</v>
      </c>
      <c r="J49" s="10"/>
    </row>
    <row r="50" spans="2:10" x14ac:dyDescent="0.2">
      <c r="B50" s="335">
        <v>15</v>
      </c>
      <c r="C50" s="848" t="s">
        <v>130</v>
      </c>
      <c r="D50" s="848"/>
      <c r="E50" s="849" t="s">
        <v>131</v>
      </c>
      <c r="F50" s="850"/>
      <c r="G50" s="850"/>
      <c r="H50" s="305">
        <v>2500</v>
      </c>
      <c r="I50" s="338"/>
      <c r="J50" s="10"/>
    </row>
    <row r="51" spans="2:10" x14ac:dyDescent="0.2">
      <c r="B51" s="335">
        <v>16</v>
      </c>
      <c r="C51" s="838" t="s">
        <v>132</v>
      </c>
      <c r="D51" s="838"/>
      <c r="E51" s="839"/>
      <c r="F51" s="840"/>
      <c r="G51" s="841"/>
      <c r="H51" s="305"/>
      <c r="I51" s="338">
        <f>IF(AND(I43&lt;=350000,I49&gt;2500),(I49-H50),IF(AND(I43&gt;350000),I49,0))</f>
        <v>0</v>
      </c>
      <c r="J51" s="10"/>
    </row>
    <row r="52" spans="2:10" x14ac:dyDescent="0.2">
      <c r="B52" s="337">
        <v>17</v>
      </c>
      <c r="C52" s="826" t="s">
        <v>133</v>
      </c>
      <c r="D52" s="826"/>
      <c r="E52" s="827"/>
      <c r="F52" s="18"/>
      <c r="G52" s="26">
        <v>0.02</v>
      </c>
      <c r="H52" s="305"/>
      <c r="I52" s="338">
        <f>ROUND(I51*G52,0)</f>
        <v>0</v>
      </c>
      <c r="J52" s="10"/>
    </row>
    <row r="53" spans="2:10" x14ac:dyDescent="0.2">
      <c r="B53" s="335">
        <v>18</v>
      </c>
      <c r="C53" s="826" t="s">
        <v>134</v>
      </c>
      <c r="D53" s="826"/>
      <c r="E53" s="827"/>
      <c r="F53" s="11"/>
      <c r="G53" s="26">
        <v>0.01</v>
      </c>
      <c r="H53" s="305"/>
      <c r="I53" s="338">
        <f>ROUND(I51*G53,0)</f>
        <v>0</v>
      </c>
    </row>
    <row r="54" spans="2:10" x14ac:dyDescent="0.2">
      <c r="B54" s="335">
        <v>19</v>
      </c>
      <c r="C54" s="838" t="s">
        <v>135</v>
      </c>
      <c r="D54" s="838"/>
      <c r="E54" s="839"/>
      <c r="F54" s="27" t="s">
        <v>136</v>
      </c>
      <c r="G54" s="28"/>
      <c r="H54" s="305"/>
      <c r="I54" s="338">
        <f>SUM(I51:I53)</f>
        <v>0</v>
      </c>
    </row>
    <row r="55" spans="2:10" x14ac:dyDescent="0.2">
      <c r="B55" s="340">
        <v>20</v>
      </c>
      <c r="C55" s="842" t="s">
        <v>137</v>
      </c>
      <c r="D55" s="838"/>
      <c r="E55" s="839"/>
      <c r="F55" s="843" t="s">
        <v>138</v>
      </c>
      <c r="G55" s="844"/>
      <c r="H55" s="306"/>
      <c r="I55" s="338"/>
    </row>
    <row r="56" spans="2:10" x14ac:dyDescent="0.2">
      <c r="B56" s="335"/>
      <c r="C56" s="29" t="s">
        <v>79</v>
      </c>
      <c r="D56" s="894" t="str">
        <f>CONCATENATE("Upto ",'ANNEXURE I'!B13)</f>
        <v>Upto Nov-2017</v>
      </c>
      <c r="E56" s="895"/>
      <c r="F56" s="828"/>
      <c r="G56" s="829"/>
      <c r="H56" s="305">
        <f>SUM(INFO!R2:R25)</f>
        <v>0</v>
      </c>
      <c r="I56" s="338"/>
    </row>
    <row r="57" spans="2:10" x14ac:dyDescent="0.2">
      <c r="B57" s="335"/>
      <c r="C57" s="24" t="s">
        <v>82</v>
      </c>
      <c r="D57" s="894" t="str">
        <f>CONCATENATE("Upto ",'ANNEXURE I'!B14)</f>
        <v>Upto Dec-2017</v>
      </c>
      <c r="E57" s="895"/>
      <c r="F57" s="828"/>
      <c r="G57" s="829"/>
      <c r="H57" s="305">
        <f>INFO!R11</f>
        <v>0</v>
      </c>
      <c r="I57" s="338"/>
    </row>
    <row r="58" spans="2:10" x14ac:dyDescent="0.2">
      <c r="B58" s="335"/>
      <c r="C58" s="24" t="s">
        <v>83</v>
      </c>
      <c r="D58" s="894" t="str">
        <f>CONCATENATE("Upto ",'ANNEXURE I'!B15)</f>
        <v>Upto Jan-2018</v>
      </c>
      <c r="E58" s="895"/>
      <c r="F58" s="828"/>
      <c r="G58" s="829"/>
      <c r="H58" s="305">
        <f>INFO!R12</f>
        <v>0</v>
      </c>
      <c r="I58" s="338"/>
    </row>
    <row r="59" spans="2:10" x14ac:dyDescent="0.2">
      <c r="B59" s="337"/>
      <c r="C59" s="24" t="s">
        <v>100</v>
      </c>
      <c r="D59" s="894" t="str">
        <f>CONCATENATE("Upto ",'ANNEXURE I'!B16)</f>
        <v>Upto Feb-2018</v>
      </c>
      <c r="E59" s="895"/>
      <c r="F59" s="828"/>
      <c r="G59" s="829"/>
      <c r="H59" s="305">
        <f>INFO!R13</f>
        <v>0</v>
      </c>
      <c r="I59" s="338"/>
    </row>
    <row r="60" spans="2:10" x14ac:dyDescent="0.2">
      <c r="B60" s="335">
        <v>21</v>
      </c>
      <c r="C60" s="830" t="s">
        <v>139</v>
      </c>
      <c r="D60" s="830"/>
      <c r="E60" s="830"/>
      <c r="F60" s="831" t="str">
        <f>CONCATENATE("From ", 'ANNEXURE I'!B13," to ",'ANNEXURE I'!B16)</f>
        <v>From Nov-2017 to Feb-2018</v>
      </c>
      <c r="G60" s="832"/>
      <c r="H60" s="305">
        <f>SUM(H56:H59)</f>
        <v>0</v>
      </c>
      <c r="I60" s="338">
        <f>I54-H60</f>
        <v>0</v>
      </c>
    </row>
    <row r="61" spans="2:10" ht="17.45" customHeight="1" thickBot="1" x14ac:dyDescent="0.25">
      <c r="B61" s="337">
        <v>22</v>
      </c>
      <c r="C61" s="833" t="s">
        <v>140</v>
      </c>
      <c r="D61" s="834"/>
      <c r="E61" s="834"/>
      <c r="F61" s="30" t="s">
        <v>141</v>
      </c>
      <c r="G61" s="31"/>
      <c r="H61" s="91" t="str">
        <f>IF(I60&lt;0,"REFUND   🔜","")</f>
        <v/>
      </c>
      <c r="I61" s="341" t="str">
        <f>IF(I60=0,"NO TAX",I60)</f>
        <v>NO TAX</v>
      </c>
    </row>
    <row r="62" spans="2:10" ht="50.1" customHeight="1" x14ac:dyDescent="0.2">
      <c r="B62" s="835"/>
      <c r="C62" s="836"/>
      <c r="D62" s="836"/>
      <c r="E62" s="836"/>
      <c r="F62" s="836"/>
      <c r="G62" s="836"/>
      <c r="H62" s="836"/>
      <c r="I62" s="837"/>
    </row>
    <row r="63" spans="2:10" ht="15" customHeight="1" thickBot="1" x14ac:dyDescent="0.25">
      <c r="B63" s="822" t="s">
        <v>142</v>
      </c>
      <c r="C63" s="823"/>
      <c r="D63" s="823"/>
      <c r="E63" s="823"/>
      <c r="F63" s="824" t="s">
        <v>143</v>
      </c>
      <c r="G63" s="824"/>
      <c r="H63" s="824"/>
      <c r="I63" s="825"/>
    </row>
    <row r="64" spans="2:10" ht="15" customHeight="1" thickTop="1" x14ac:dyDescent="0.2"/>
  </sheetData>
  <sheetProtection algorithmName="SHA-512" hashValue="A+WQGJzAAk2UHm4NAQNKQE582gcMBvndrWSNwJ8JaYVCc4F4dGspBoOQthd/ljmn+xzFUKsKbjVsrl3Ogbd3Kw==" saltValue="3MfwcnIc9z/SuHkfkL9mIg==" spinCount="100000" sheet="1" objects="1" scenarios="1" selectLockedCells="1" selectUnlockedCells="1"/>
  <protectedRanges>
    <protectedRange sqref="C62:F62" name="Range4"/>
    <protectedRange sqref="I51" name="Range5_1"/>
  </protectedRanges>
  <mergeCells count="92">
    <mergeCell ref="D56:E56"/>
    <mergeCell ref="D57:E57"/>
    <mergeCell ref="D58:E58"/>
    <mergeCell ref="D59:E59"/>
    <mergeCell ref="H5:I5"/>
    <mergeCell ref="D27:E27"/>
    <mergeCell ref="C21:E21"/>
    <mergeCell ref="F21:G21"/>
    <mergeCell ref="D33:E33"/>
    <mergeCell ref="D35:E35"/>
    <mergeCell ref="F35:G35"/>
    <mergeCell ref="D22:E22"/>
    <mergeCell ref="D23:E23"/>
    <mergeCell ref="D32:E32"/>
    <mergeCell ref="D25:E25"/>
    <mergeCell ref="H6:I6"/>
    <mergeCell ref="H2:I2"/>
    <mergeCell ref="H3:I3"/>
    <mergeCell ref="F4:G4"/>
    <mergeCell ref="C12:E12"/>
    <mergeCell ref="B6:E6"/>
    <mergeCell ref="F6:G6"/>
    <mergeCell ref="F7:G7"/>
    <mergeCell ref="H4:I4"/>
    <mergeCell ref="B2:D2"/>
    <mergeCell ref="B3:D3"/>
    <mergeCell ref="B4:C4"/>
    <mergeCell ref="D4:E4"/>
    <mergeCell ref="B5:E5"/>
    <mergeCell ref="F5:G5"/>
    <mergeCell ref="E3:G3"/>
    <mergeCell ref="E2:G2"/>
    <mergeCell ref="C20:E20"/>
    <mergeCell ref="D10:E10"/>
    <mergeCell ref="D14:F14"/>
    <mergeCell ref="D11:F11"/>
    <mergeCell ref="C7:D7"/>
    <mergeCell ref="C8:E8"/>
    <mergeCell ref="D9:E9"/>
    <mergeCell ref="C19:E19"/>
    <mergeCell ref="C13:E13"/>
    <mergeCell ref="D15:E15"/>
    <mergeCell ref="C16:E16"/>
    <mergeCell ref="C17:E17"/>
    <mergeCell ref="C18:E18"/>
    <mergeCell ref="D31:E31"/>
    <mergeCell ref="D24:E24"/>
    <mergeCell ref="C42:E42"/>
    <mergeCell ref="F42:G42"/>
    <mergeCell ref="C43:E43"/>
    <mergeCell ref="F25:G25"/>
    <mergeCell ref="C28:E28"/>
    <mergeCell ref="F28:G28"/>
    <mergeCell ref="C29:E29"/>
    <mergeCell ref="C30:D30"/>
    <mergeCell ref="F30:G30"/>
    <mergeCell ref="G43:H43"/>
    <mergeCell ref="D34:G34"/>
    <mergeCell ref="C44:D44"/>
    <mergeCell ref="D36:E36"/>
    <mergeCell ref="F36:G36"/>
    <mergeCell ref="D37:E37"/>
    <mergeCell ref="F37:G37"/>
    <mergeCell ref="D38:E38"/>
    <mergeCell ref="F38:G38"/>
    <mergeCell ref="D39:E39"/>
    <mergeCell ref="C41:D41"/>
    <mergeCell ref="F41:G41"/>
    <mergeCell ref="D40:G40"/>
    <mergeCell ref="G44:H44"/>
    <mergeCell ref="C55:E55"/>
    <mergeCell ref="F55:G55"/>
    <mergeCell ref="C49:D49"/>
    <mergeCell ref="F49:G49"/>
    <mergeCell ref="C50:D50"/>
    <mergeCell ref="E50:G50"/>
    <mergeCell ref="B63:E63"/>
    <mergeCell ref="F63:I63"/>
    <mergeCell ref="D26:E26"/>
    <mergeCell ref="F59:G59"/>
    <mergeCell ref="C60:E60"/>
    <mergeCell ref="F60:G60"/>
    <mergeCell ref="C61:E61"/>
    <mergeCell ref="B62:I62"/>
    <mergeCell ref="F56:G56"/>
    <mergeCell ref="F57:G57"/>
    <mergeCell ref="F58:G58"/>
    <mergeCell ref="C51:E51"/>
    <mergeCell ref="F51:G51"/>
    <mergeCell ref="C52:E52"/>
    <mergeCell ref="C53:E53"/>
    <mergeCell ref="C54:E54"/>
  </mergeCells>
  <printOptions horizontalCentered="1"/>
  <pageMargins left="0.31496062992125984" right="0.27559055118110237" top="0.31496062992125984" bottom="0.31496062992125984" header="0.39370078740157483" footer="0.31496062992125984"/>
  <pageSetup paperSize="9" scale="8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F71C271-804E-4CDC-A933-10A7C4A42268}">
            <xm:f>INFO!$C$16="YES"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F31:G33 F39:G39</xm:sqref>
        </x14:conditionalFormatting>
        <x14:conditionalFormatting xmlns:xm="http://schemas.microsoft.com/office/excel/2006/main">
          <x14:cfRule type="expression" priority="95" id="{611B1A08-A1BF-4140-9556-88209A95ABFA}">
            <xm:f>INFO!$C$90=0</xm:f>
            <x14:dxf>
              <font>
                <color theme="0"/>
              </font>
              <border>
                <left style="hair">
                  <color auto="1"/>
                </left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</border>
            </x14:dxf>
          </x14:cfRule>
          <xm:sqref>F8:G10</xm:sqref>
        </x14:conditionalFormatting>
        <x14:conditionalFormatting xmlns:xm="http://schemas.microsoft.com/office/excel/2006/main">
          <x14:cfRule type="expression" priority="96" id="{72CC2F1D-B99B-4643-A6E1-3CE52C5127CB}">
            <xm:f>INFO!$C$90=0</xm:f>
            <x14:dxf>
              <font>
                <color theme="0"/>
              </font>
            </x14:dxf>
          </x14:cfRule>
          <xm:sqref>H9:H11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7030A0"/>
    <pageSetUpPr fitToPage="1"/>
  </sheetPr>
  <dimension ref="B1:L63"/>
  <sheetViews>
    <sheetView showGridLines="0" showRowColHeaders="0" zoomScaleNormal="100" zoomScaleSheetLayoutView="100" workbookViewId="0" xr3:uid="{51F8DEE0-4D01-5F28-A812-FC0BD7CAC4A5}">
      <pane xSplit="1" ySplit="9" topLeftCell="B10" activePane="bottomRight" state="frozen"/>
      <selection activeCell="V20" sqref="V20:W20"/>
      <selection pane="bottomLeft" activeCell="V20" sqref="V20:W20"/>
      <selection pane="topRight" activeCell="V20" sqref="V20:W20"/>
      <selection pane="bottomRight" activeCell="E2" sqref="E2:H2"/>
    </sheetView>
  </sheetViews>
  <sheetFormatPr defaultColWidth="9.14453125" defaultRowHeight="15" x14ac:dyDescent="0.2"/>
  <cols>
    <col min="1" max="1" width="1.34375" style="6" customWidth="1"/>
    <col min="2" max="2" width="3.765625" style="32" customWidth="1"/>
    <col min="3" max="4" width="6.72265625" style="6" customWidth="1"/>
    <col min="5" max="5" width="20.71484375" style="6" customWidth="1"/>
    <col min="6" max="7" width="9.68359375" style="6" customWidth="1"/>
    <col min="8" max="10" width="14.66015625" style="6" customWidth="1"/>
    <col min="11" max="16384" width="9.14453125" style="6"/>
  </cols>
  <sheetData>
    <row r="1" spans="2:12" ht="6" customHeight="1" thickBot="1" x14ac:dyDescent="0.25"/>
    <row r="2" spans="2:12" ht="24.95" customHeight="1" thickTop="1" thickBot="1" x14ac:dyDescent="0.25">
      <c r="B2" s="378"/>
      <c r="C2" s="379"/>
      <c r="D2" s="379"/>
      <c r="E2" s="961" t="s">
        <v>234</v>
      </c>
      <c r="F2" s="961"/>
      <c r="G2" s="961"/>
      <c r="H2" s="961"/>
      <c r="I2" s="956" t="s">
        <v>235</v>
      </c>
      <c r="J2" s="957"/>
      <c r="K2" s="65"/>
      <c r="L2" s="65"/>
    </row>
    <row r="3" spans="2:12" ht="17.100000000000001" customHeight="1" x14ac:dyDescent="0.2">
      <c r="B3" s="958"/>
      <c r="C3" s="959"/>
      <c r="D3" s="959"/>
      <c r="E3" s="960" t="s">
        <v>236</v>
      </c>
      <c r="F3" s="960"/>
      <c r="G3" s="960"/>
      <c r="H3" s="960"/>
      <c r="I3" s="127" t="s">
        <v>237</v>
      </c>
      <c r="J3" s="380">
        <f>INFO!B3</f>
        <v>0</v>
      </c>
      <c r="K3" s="65"/>
      <c r="L3" s="65"/>
    </row>
    <row r="4" spans="2:12" ht="17.100000000000001" customHeight="1" thickBot="1" x14ac:dyDescent="0.25">
      <c r="B4" s="946" t="s">
        <v>145</v>
      </c>
      <c r="C4" s="947"/>
      <c r="D4" s="947"/>
      <c r="E4" s="947"/>
      <c r="F4" s="947"/>
      <c r="G4" s="947"/>
      <c r="H4" s="947"/>
      <c r="I4" s="947"/>
      <c r="J4" s="948"/>
    </row>
    <row r="5" spans="2:12" ht="17.100000000000001" customHeight="1" x14ac:dyDescent="0.2">
      <c r="B5" s="949" t="s">
        <v>146</v>
      </c>
      <c r="C5" s="950"/>
      <c r="D5" s="950"/>
      <c r="E5" s="950"/>
      <c r="F5" s="33"/>
      <c r="G5" s="33"/>
      <c r="H5" s="70" t="s">
        <v>147</v>
      </c>
      <c r="I5" s="70"/>
      <c r="J5" s="381"/>
      <c r="K5" s="82"/>
      <c r="L5" s="66"/>
    </row>
    <row r="6" spans="2:12" ht="17.100000000000001" customHeight="1" x14ac:dyDescent="0.2">
      <c r="B6" s="944" t="str">
        <f>UPPER(INFO!B11)</f>
        <v/>
      </c>
      <c r="C6" s="945"/>
      <c r="D6" s="945"/>
      <c r="E6" s="945"/>
      <c r="F6" s="343"/>
      <c r="G6" s="343"/>
      <c r="H6" s="906" t="str">
        <f>UPPER(INFO!B2)</f>
        <v/>
      </c>
      <c r="I6" s="906"/>
      <c r="J6" s="907"/>
      <c r="K6" s="82"/>
      <c r="L6" s="66"/>
    </row>
    <row r="7" spans="2:12" ht="17.100000000000001" customHeight="1" x14ac:dyDescent="0.2">
      <c r="B7" s="944" t="str">
        <f>UPPER(INFO!B12)</f>
        <v/>
      </c>
      <c r="C7" s="945"/>
      <c r="D7" s="945"/>
      <c r="E7" s="945"/>
      <c r="F7" s="343"/>
      <c r="G7" s="343"/>
      <c r="H7" s="906" t="str">
        <f>UPPER(INFO!B6)</f>
        <v/>
      </c>
      <c r="I7" s="906"/>
      <c r="J7" s="907"/>
    </row>
    <row r="8" spans="2:12" ht="17.100000000000001" customHeight="1" x14ac:dyDescent="0.2">
      <c r="B8" s="944" t="str">
        <f>CONCATENATE(UPPER(INFO!B9),"    ",";","  ",UPPER(INFO!B10))</f>
        <v xml:space="preserve">    ;  </v>
      </c>
      <c r="C8" s="945"/>
      <c r="D8" s="945"/>
      <c r="E8" s="945"/>
      <c r="F8" s="343"/>
      <c r="G8" s="343"/>
      <c r="H8" s="908" t="str">
        <f>CONCATENATE(UPPER(INFO!B8),"    ",";","   ",UPPER(INFO!B9))</f>
        <v xml:space="preserve">    ;   </v>
      </c>
      <c r="I8" s="908"/>
      <c r="J8" s="909"/>
    </row>
    <row r="9" spans="2:12" ht="17.100000000000001" customHeight="1" x14ac:dyDescent="0.2">
      <c r="B9" s="954" t="str">
        <f>CONCATENATE("TAN No. Of DDO :  ",UPPER(INFO!B13))</f>
        <v xml:space="preserve">TAN No. Of DDO :  </v>
      </c>
      <c r="C9" s="955"/>
      <c r="D9" s="955"/>
      <c r="E9" s="955"/>
      <c r="F9" s="953" t="str">
        <f>CONCATENATE("EMP.PAN :   ",UPPER(INFO!B4))</f>
        <v xml:space="preserve">EMP.PAN :   </v>
      </c>
      <c r="G9" s="953"/>
      <c r="H9" s="953"/>
      <c r="I9" s="951" t="str">
        <f>CONCATENATE("EMP.Aadhar No. : ",INFO!B5)</f>
        <v xml:space="preserve">EMP.Aadhar No. : </v>
      </c>
      <c r="J9" s="952"/>
    </row>
    <row r="10" spans="2:12" x14ac:dyDescent="0.2">
      <c r="B10" s="939" t="s">
        <v>148</v>
      </c>
      <c r="C10" s="940"/>
      <c r="D10" s="940"/>
      <c r="E10" s="940"/>
      <c r="F10" s="940"/>
      <c r="G10" s="940"/>
      <c r="H10" s="940"/>
      <c r="I10" s="940"/>
      <c r="J10" s="941"/>
    </row>
    <row r="11" spans="2:12" ht="15" customHeight="1" x14ac:dyDescent="0.2">
      <c r="B11" s="925" t="s">
        <v>239</v>
      </c>
      <c r="C11" s="926"/>
      <c r="D11" s="926"/>
      <c r="E11" s="99" t="s">
        <v>149</v>
      </c>
      <c r="F11" s="942" t="s">
        <v>150</v>
      </c>
      <c r="G11" s="943"/>
      <c r="H11" s="926" t="s">
        <v>151</v>
      </c>
      <c r="I11" s="926"/>
      <c r="J11" s="910" t="s">
        <v>238</v>
      </c>
    </row>
    <row r="12" spans="2:12" x14ac:dyDescent="0.2">
      <c r="B12" s="937" t="s">
        <v>152</v>
      </c>
      <c r="C12" s="938"/>
      <c r="D12" s="938"/>
      <c r="E12" s="55"/>
      <c r="F12" s="927"/>
      <c r="G12" s="928"/>
      <c r="H12" s="71" t="s">
        <v>233</v>
      </c>
      <c r="I12" s="71" t="s">
        <v>153</v>
      </c>
      <c r="J12" s="911"/>
    </row>
    <row r="13" spans="2:12" ht="15" customHeight="1" x14ac:dyDescent="0.2">
      <c r="B13" s="925" t="s">
        <v>154</v>
      </c>
      <c r="C13" s="926"/>
      <c r="D13" s="926"/>
      <c r="E13" s="55"/>
      <c r="F13" s="927"/>
      <c r="G13" s="928"/>
      <c r="H13" s="929" t="str">
        <f>'ANNEXURE I'!B5</f>
        <v>Mar-2017</v>
      </c>
      <c r="I13" s="929" t="str">
        <f>'ANNEXURE I'!B16</f>
        <v>Feb-2018</v>
      </c>
      <c r="J13" s="931" t="str">
        <f>'ANNEXURE II'!H3</f>
        <v>2018-19</v>
      </c>
    </row>
    <row r="14" spans="2:12" x14ac:dyDescent="0.2">
      <c r="B14" s="925" t="s">
        <v>155</v>
      </c>
      <c r="C14" s="926"/>
      <c r="D14" s="926"/>
      <c r="E14" s="55"/>
      <c r="F14" s="927"/>
      <c r="G14" s="928"/>
      <c r="H14" s="930"/>
      <c r="I14" s="930"/>
      <c r="J14" s="932"/>
    </row>
    <row r="15" spans="2:12" ht="15.75" thickBot="1" x14ac:dyDescent="0.25">
      <c r="B15" s="933" t="s">
        <v>156</v>
      </c>
      <c r="C15" s="934"/>
      <c r="D15" s="934"/>
      <c r="E15" s="54"/>
      <c r="F15" s="935"/>
      <c r="G15" s="936"/>
      <c r="H15" s="930"/>
      <c r="I15" s="930"/>
      <c r="J15" s="932"/>
    </row>
    <row r="16" spans="2:12" ht="18" customHeight="1" thickBot="1" x14ac:dyDescent="0.25">
      <c r="B16" s="921" t="s">
        <v>157</v>
      </c>
      <c r="C16" s="922"/>
      <c r="D16" s="922"/>
      <c r="E16" s="922"/>
      <c r="F16" s="922"/>
      <c r="G16" s="922"/>
      <c r="H16" s="922"/>
      <c r="I16" s="922"/>
      <c r="J16" s="923"/>
    </row>
    <row r="17" spans="2:10" x14ac:dyDescent="0.2">
      <c r="B17" s="382">
        <v>1</v>
      </c>
      <c r="C17" s="924" t="s">
        <v>158</v>
      </c>
      <c r="D17" s="924"/>
      <c r="E17" s="924"/>
      <c r="F17" s="34"/>
      <c r="G17" s="34"/>
      <c r="H17" s="74">
        <f>'ANNEXURE I'!L24</f>
        <v>0</v>
      </c>
      <c r="I17" s="75"/>
      <c r="J17" s="383">
        <f>H17</f>
        <v>0</v>
      </c>
    </row>
    <row r="18" spans="2:10" x14ac:dyDescent="0.2">
      <c r="B18" s="384"/>
      <c r="C18" s="35" t="s">
        <v>79</v>
      </c>
      <c r="D18" s="919" t="s">
        <v>159</v>
      </c>
      <c r="E18" s="919"/>
      <c r="F18" s="919"/>
      <c r="G18" s="919"/>
      <c r="H18" s="76"/>
      <c r="I18" s="72"/>
      <c r="J18" s="355">
        <f>H18</f>
        <v>0</v>
      </c>
    </row>
    <row r="19" spans="2:10" x14ac:dyDescent="0.2">
      <c r="B19" s="384"/>
      <c r="C19" s="35" t="s">
        <v>82</v>
      </c>
      <c r="D19" s="919" t="s">
        <v>160</v>
      </c>
      <c r="E19" s="919"/>
      <c r="F19" s="919"/>
      <c r="G19" s="919"/>
      <c r="H19" s="76"/>
      <c r="I19" s="72"/>
      <c r="J19" s="355">
        <f t="shared" ref="J19:J21" si="0">H19</f>
        <v>0</v>
      </c>
    </row>
    <row r="20" spans="2:10" x14ac:dyDescent="0.2">
      <c r="B20" s="384"/>
      <c r="C20" s="35"/>
      <c r="D20" s="919" t="s">
        <v>161</v>
      </c>
      <c r="E20" s="919"/>
      <c r="F20" s="919"/>
      <c r="G20" s="919"/>
      <c r="H20" s="76"/>
      <c r="I20" s="72"/>
      <c r="J20" s="355"/>
    </row>
    <row r="21" spans="2:10" x14ac:dyDescent="0.2">
      <c r="B21" s="384"/>
      <c r="C21" s="35" t="s">
        <v>83</v>
      </c>
      <c r="D21" s="919" t="s">
        <v>162</v>
      </c>
      <c r="E21" s="919"/>
      <c r="F21" s="919"/>
      <c r="G21" s="919"/>
      <c r="H21" s="76"/>
      <c r="I21" s="72"/>
      <c r="J21" s="355">
        <f t="shared" si="0"/>
        <v>0</v>
      </c>
    </row>
    <row r="22" spans="2:10" x14ac:dyDescent="0.2">
      <c r="B22" s="384"/>
      <c r="C22" s="35"/>
      <c r="D22" s="919" t="s">
        <v>163</v>
      </c>
      <c r="E22" s="919"/>
      <c r="F22" s="919"/>
      <c r="G22" s="919"/>
      <c r="H22" s="76"/>
      <c r="I22" s="72"/>
      <c r="J22" s="355"/>
    </row>
    <row r="23" spans="2:10" x14ac:dyDescent="0.2">
      <c r="B23" s="384"/>
      <c r="C23" s="35" t="s">
        <v>100</v>
      </c>
      <c r="D23" s="918" t="s">
        <v>164</v>
      </c>
      <c r="E23" s="918"/>
      <c r="F23" s="342"/>
      <c r="G23" s="342"/>
      <c r="H23" s="76">
        <f>SUM(H17:H22)</f>
        <v>0</v>
      </c>
      <c r="I23" s="72"/>
      <c r="J23" s="355">
        <f>H23</f>
        <v>0</v>
      </c>
    </row>
    <row r="24" spans="2:10" x14ac:dyDescent="0.2">
      <c r="B24" s="384">
        <v>2</v>
      </c>
      <c r="C24" s="920" t="s">
        <v>165</v>
      </c>
      <c r="D24" s="920"/>
      <c r="E24" s="920"/>
      <c r="F24" s="920"/>
      <c r="G24" s="920"/>
      <c r="H24" s="76"/>
      <c r="I24" s="72"/>
      <c r="J24" s="355"/>
    </row>
    <row r="25" spans="2:10" x14ac:dyDescent="0.2">
      <c r="B25" s="384"/>
      <c r="C25" s="35" t="s">
        <v>79</v>
      </c>
      <c r="D25" s="918" t="s">
        <v>166</v>
      </c>
      <c r="E25" s="918"/>
      <c r="F25" s="918"/>
      <c r="G25" s="342"/>
      <c r="H25" s="76">
        <f>'ANNEXURE II'!I11</f>
        <v>0</v>
      </c>
      <c r="I25" s="72"/>
      <c r="J25" s="355"/>
    </row>
    <row r="26" spans="2:10" x14ac:dyDescent="0.2">
      <c r="B26" s="384"/>
      <c r="C26" s="35" t="s">
        <v>82</v>
      </c>
      <c r="D26" s="919" t="s">
        <v>167</v>
      </c>
      <c r="E26" s="919"/>
      <c r="F26" s="342"/>
      <c r="G26" s="342"/>
      <c r="H26" s="76"/>
      <c r="I26" s="72"/>
      <c r="J26" s="355">
        <f>SUM(H25,H26)</f>
        <v>0</v>
      </c>
    </row>
    <row r="27" spans="2:10" x14ac:dyDescent="0.2">
      <c r="B27" s="384">
        <v>3</v>
      </c>
      <c r="C27" s="917" t="s">
        <v>168</v>
      </c>
      <c r="D27" s="917"/>
      <c r="E27" s="917"/>
      <c r="F27" s="36" t="s">
        <v>86</v>
      </c>
      <c r="G27" s="342"/>
      <c r="H27" s="76"/>
      <c r="I27" s="72"/>
      <c r="J27" s="355">
        <f>J23-(H25+H26)</f>
        <v>0</v>
      </c>
    </row>
    <row r="28" spans="2:10" x14ac:dyDescent="0.2">
      <c r="B28" s="384">
        <v>4</v>
      </c>
      <c r="C28" s="920" t="s">
        <v>98</v>
      </c>
      <c r="D28" s="920"/>
      <c r="E28" s="920"/>
      <c r="F28" s="920"/>
      <c r="G28" s="920"/>
      <c r="H28" s="76"/>
      <c r="I28" s="72"/>
      <c r="J28" s="355"/>
    </row>
    <row r="29" spans="2:10" x14ac:dyDescent="0.2">
      <c r="B29" s="384"/>
      <c r="C29" s="35" t="s">
        <v>79</v>
      </c>
      <c r="D29" s="918" t="s">
        <v>169</v>
      </c>
      <c r="E29" s="918"/>
      <c r="F29" s="342"/>
      <c r="G29" s="342"/>
      <c r="H29" s="76"/>
      <c r="I29" s="72"/>
      <c r="J29" s="355"/>
    </row>
    <row r="30" spans="2:10" x14ac:dyDescent="0.2">
      <c r="B30" s="384"/>
      <c r="C30" s="35" t="s">
        <v>82</v>
      </c>
      <c r="D30" s="918" t="s">
        <v>170</v>
      </c>
      <c r="E30" s="918"/>
      <c r="F30" s="342"/>
      <c r="G30" s="342"/>
      <c r="H30" s="76">
        <f>'ANNEXURE I'!P24</f>
        <v>0</v>
      </c>
      <c r="I30" s="72"/>
      <c r="J30" s="355"/>
    </row>
    <row r="31" spans="2:10" x14ac:dyDescent="0.2">
      <c r="B31" s="384">
        <v>5</v>
      </c>
      <c r="C31" s="917" t="s">
        <v>171</v>
      </c>
      <c r="D31" s="917"/>
      <c r="E31" s="917"/>
      <c r="F31" s="36" t="s">
        <v>172</v>
      </c>
      <c r="G31" s="342"/>
      <c r="H31" s="72"/>
      <c r="I31" s="72"/>
      <c r="J31" s="355">
        <f>H29+H30</f>
        <v>0</v>
      </c>
    </row>
    <row r="32" spans="2:10" x14ac:dyDescent="0.2">
      <c r="B32" s="384">
        <v>6</v>
      </c>
      <c r="C32" s="917" t="s">
        <v>173</v>
      </c>
      <c r="D32" s="917"/>
      <c r="E32" s="917"/>
      <c r="F32" s="36" t="s">
        <v>174</v>
      </c>
      <c r="G32" s="342"/>
      <c r="H32" s="77"/>
      <c r="I32" s="78" t="s">
        <v>93</v>
      </c>
      <c r="J32" s="355">
        <f>J27-J31</f>
        <v>0</v>
      </c>
    </row>
    <row r="33" spans="2:10" x14ac:dyDescent="0.2">
      <c r="B33" s="384">
        <v>7</v>
      </c>
      <c r="C33" s="917" t="s">
        <v>175</v>
      </c>
      <c r="D33" s="917"/>
      <c r="E33" s="917"/>
      <c r="F33" s="917"/>
      <c r="G33" s="917"/>
      <c r="H33" s="77"/>
      <c r="I33" s="78" t="s">
        <v>93</v>
      </c>
      <c r="J33" s="355"/>
    </row>
    <row r="34" spans="2:10" x14ac:dyDescent="0.2">
      <c r="B34" s="384"/>
      <c r="C34" s="35" t="s">
        <v>79</v>
      </c>
      <c r="D34" s="918" t="str">
        <f>INFO!B79</f>
        <v>INCOME FROM OTHER SOURCE</v>
      </c>
      <c r="E34" s="918"/>
      <c r="F34" s="37" t="s">
        <v>93</v>
      </c>
      <c r="G34" s="37"/>
      <c r="H34" s="77"/>
      <c r="I34" s="78" t="s">
        <v>93</v>
      </c>
      <c r="J34" s="355">
        <f>INFO!C79</f>
        <v>0</v>
      </c>
    </row>
    <row r="35" spans="2:10" x14ac:dyDescent="0.2">
      <c r="B35" s="384"/>
      <c r="C35" s="35" t="s">
        <v>82</v>
      </c>
      <c r="D35" s="918" t="str">
        <f>INFO!B80</f>
        <v>INCOME FROM CAPITAL GAINS</v>
      </c>
      <c r="E35" s="918"/>
      <c r="F35" s="53"/>
      <c r="G35" s="53"/>
      <c r="H35" s="77"/>
      <c r="I35" s="78"/>
      <c r="J35" s="355">
        <f>INFO!C80</f>
        <v>0</v>
      </c>
    </row>
    <row r="36" spans="2:10" x14ac:dyDescent="0.2">
      <c r="B36" s="384"/>
      <c r="C36" s="35" t="s">
        <v>82</v>
      </c>
      <c r="D36" s="918" t="str">
        <f>INFO!B81</f>
        <v>INCOME FROM HOUSE PROPERTY</v>
      </c>
      <c r="E36" s="918"/>
      <c r="F36" s="37" t="s">
        <v>93</v>
      </c>
      <c r="G36" s="37"/>
      <c r="H36" s="77"/>
      <c r="I36" s="78" t="s">
        <v>93</v>
      </c>
      <c r="J36" s="355">
        <f>INFO!C81</f>
        <v>0</v>
      </c>
    </row>
    <row r="37" spans="2:10" x14ac:dyDescent="0.2">
      <c r="B37" s="384">
        <v>8</v>
      </c>
      <c r="C37" s="917" t="s">
        <v>96</v>
      </c>
      <c r="D37" s="917"/>
      <c r="E37" s="917"/>
      <c r="F37" s="38" t="s">
        <v>176</v>
      </c>
      <c r="G37" s="39"/>
      <c r="H37" s="77"/>
      <c r="I37" s="78" t="s">
        <v>93</v>
      </c>
      <c r="J37" s="355">
        <f>J32+SUM(J34:J36)</f>
        <v>0</v>
      </c>
    </row>
    <row r="38" spans="2:10" ht="15" customHeight="1" x14ac:dyDescent="0.2">
      <c r="B38" s="384">
        <v>9</v>
      </c>
      <c r="C38" s="917" t="s">
        <v>177</v>
      </c>
      <c r="D38" s="917"/>
      <c r="E38" s="917"/>
      <c r="F38" s="342"/>
      <c r="G38" s="342"/>
      <c r="H38" s="72"/>
      <c r="I38" s="72"/>
      <c r="J38" s="385"/>
    </row>
    <row r="39" spans="2:10" x14ac:dyDescent="0.2">
      <c r="B39" s="384" t="s">
        <v>178</v>
      </c>
      <c r="C39" s="917" t="s">
        <v>179</v>
      </c>
      <c r="D39" s="917"/>
      <c r="E39" s="917"/>
      <c r="F39" s="917"/>
      <c r="G39" s="40"/>
      <c r="H39" s="81" t="s">
        <v>180</v>
      </c>
      <c r="I39" s="81" t="s">
        <v>181</v>
      </c>
      <c r="J39" s="385"/>
    </row>
    <row r="40" spans="2:10" x14ac:dyDescent="0.2">
      <c r="B40" s="384"/>
      <c r="C40" s="41" t="s">
        <v>79</v>
      </c>
      <c r="D40" s="42" t="s">
        <v>245</v>
      </c>
      <c r="E40" s="903" t="str">
        <f>'ANNEXURE II'!D31</f>
        <v>ZPPF_GPF_CPS</v>
      </c>
      <c r="F40" s="903"/>
      <c r="G40" s="68"/>
      <c r="H40" s="76">
        <f>'ANNEXURE II'!H31</f>
        <v>0</v>
      </c>
      <c r="I40" s="76">
        <f t="shared" ref="I40:I49" si="1">H40</f>
        <v>0</v>
      </c>
      <c r="J40" s="355"/>
    </row>
    <row r="41" spans="2:10" x14ac:dyDescent="0.2">
      <c r="B41" s="384"/>
      <c r="C41" s="41" t="s">
        <v>82</v>
      </c>
      <c r="D41" s="42" t="s">
        <v>245</v>
      </c>
      <c r="E41" s="903" t="str">
        <f>'ANNEXURE II'!D32</f>
        <v>APGLI</v>
      </c>
      <c r="F41" s="903"/>
      <c r="G41" s="68"/>
      <c r="H41" s="76">
        <f>'ANNEXURE II'!H32</f>
        <v>0</v>
      </c>
      <c r="I41" s="76">
        <f t="shared" si="1"/>
        <v>0</v>
      </c>
      <c r="J41" s="355"/>
    </row>
    <row r="42" spans="2:10" x14ac:dyDescent="0.2">
      <c r="B42" s="384"/>
      <c r="C42" s="41" t="s">
        <v>83</v>
      </c>
      <c r="D42" s="42" t="s">
        <v>245</v>
      </c>
      <c r="E42" s="903" t="str">
        <f>'ANNEXURE II'!D33</f>
        <v>GIS</v>
      </c>
      <c r="F42" s="903"/>
      <c r="G42" s="68"/>
      <c r="H42" s="76">
        <f>'ANNEXURE II'!H33</f>
        <v>0</v>
      </c>
      <c r="I42" s="76">
        <f t="shared" si="1"/>
        <v>0</v>
      </c>
      <c r="J42" s="355"/>
    </row>
    <row r="43" spans="2:10" x14ac:dyDescent="0.2">
      <c r="B43" s="384"/>
      <c r="C43" s="41" t="s">
        <v>100</v>
      </c>
      <c r="D43" s="68" t="s">
        <v>246</v>
      </c>
      <c r="E43" s="903" t="str">
        <f>'ANNEXURE II'!D34</f>
        <v>LIC PREMIUMS (BY HAND)</v>
      </c>
      <c r="F43" s="903"/>
      <c r="G43" s="904"/>
      <c r="H43" s="76">
        <f>'ANNEXURE II'!H34</f>
        <v>0</v>
      </c>
      <c r="I43" s="79">
        <f t="shared" si="1"/>
        <v>0</v>
      </c>
      <c r="J43" s="355"/>
    </row>
    <row r="44" spans="2:10" x14ac:dyDescent="0.2">
      <c r="B44" s="384"/>
      <c r="C44" s="41" t="s">
        <v>102</v>
      </c>
      <c r="D44" s="42" t="s">
        <v>246</v>
      </c>
      <c r="E44" s="903" t="str">
        <f>'ANNEXURE II'!D35</f>
        <v>POSTAL LIFE INSURANCE (PLI/RPLI)</v>
      </c>
      <c r="F44" s="903"/>
      <c r="G44" s="68"/>
      <c r="H44" s="76">
        <f>'ANNEXURE II'!H35</f>
        <v>0</v>
      </c>
      <c r="I44" s="79">
        <f t="shared" si="1"/>
        <v>0</v>
      </c>
      <c r="J44" s="355"/>
    </row>
    <row r="45" spans="2:10" x14ac:dyDescent="0.2">
      <c r="B45" s="384"/>
      <c r="C45" s="41" t="s">
        <v>103</v>
      </c>
      <c r="D45" s="101" t="s">
        <v>245</v>
      </c>
      <c r="E45" s="903" t="str">
        <f>'ANNEXURE II'!D36</f>
        <v>SUKANYA SAMRIDHI YOJANA</v>
      </c>
      <c r="F45" s="903"/>
      <c r="G45" s="68"/>
      <c r="H45" s="76">
        <f>'ANNEXURE II'!H36</f>
        <v>0</v>
      </c>
      <c r="I45" s="79">
        <f t="shared" si="1"/>
        <v>0</v>
      </c>
      <c r="J45" s="355"/>
    </row>
    <row r="46" spans="2:10" x14ac:dyDescent="0.2">
      <c r="B46" s="384"/>
      <c r="C46" s="41" t="s">
        <v>109</v>
      </c>
      <c r="D46" s="42" t="s">
        <v>245</v>
      </c>
      <c r="E46" s="903" t="str">
        <f>'ANNEXURE II'!D37</f>
        <v>SBI LIFE INSURANCE</v>
      </c>
      <c r="F46" s="903"/>
      <c r="G46" s="69"/>
      <c r="H46" s="76">
        <f>'ANNEXURE II'!H37</f>
        <v>0</v>
      </c>
      <c r="I46" s="79">
        <f t="shared" si="1"/>
        <v>0</v>
      </c>
      <c r="J46" s="355"/>
    </row>
    <row r="47" spans="2:10" x14ac:dyDescent="0.2">
      <c r="B47" s="384"/>
      <c r="C47" s="41" t="s">
        <v>110</v>
      </c>
      <c r="D47" s="345" t="s">
        <v>247</v>
      </c>
      <c r="E47" s="903" t="str">
        <f>'ANNEXURE II'!D38</f>
        <v>PUBLIC PROVIDENT FUND</v>
      </c>
      <c r="F47" s="903"/>
      <c r="G47" s="68"/>
      <c r="H47" s="76">
        <f>'ANNEXURE II'!H38</f>
        <v>0</v>
      </c>
      <c r="I47" s="79">
        <f t="shared" si="1"/>
        <v>0</v>
      </c>
      <c r="J47" s="355"/>
    </row>
    <row r="48" spans="2:10" x14ac:dyDescent="0.2">
      <c r="B48" s="384"/>
      <c r="C48" s="41" t="s">
        <v>111</v>
      </c>
      <c r="D48" s="42" t="s">
        <v>246</v>
      </c>
      <c r="E48" s="903" t="str">
        <f>'ANNEXURE II'!D39</f>
        <v>TUTION FEE FOR CHILDREN</v>
      </c>
      <c r="F48" s="903"/>
      <c r="G48" s="68"/>
      <c r="H48" s="76">
        <f>'ANNEXURE II'!H39</f>
        <v>0</v>
      </c>
      <c r="I48" s="76">
        <f t="shared" si="1"/>
        <v>0</v>
      </c>
      <c r="J48" s="355"/>
    </row>
    <row r="49" spans="2:10" x14ac:dyDescent="0.2">
      <c r="B49" s="384"/>
      <c r="C49" s="41" t="s">
        <v>112</v>
      </c>
      <c r="D49" s="42" t="s">
        <v>245</v>
      </c>
      <c r="E49" s="903" t="str">
        <f>'ANNEXURE II'!D40</f>
        <v>PRINCIPLE AMOUNT OF HOME LOAN INSTALLMENTS</v>
      </c>
      <c r="F49" s="903"/>
      <c r="G49" s="68"/>
      <c r="H49" s="76">
        <f>'ANNEXURE II'!H40</f>
        <v>0</v>
      </c>
      <c r="I49" s="76">
        <f t="shared" si="1"/>
        <v>0</v>
      </c>
      <c r="J49" s="355"/>
    </row>
    <row r="50" spans="2:10" x14ac:dyDescent="0.2">
      <c r="B50" s="384"/>
      <c r="C50" s="41"/>
      <c r="D50" s="42"/>
      <c r="E50" s="901" t="s">
        <v>249</v>
      </c>
      <c r="F50" s="901"/>
      <c r="G50" s="344"/>
      <c r="H50" s="76">
        <f>SUM(H40:H49)</f>
        <v>0</v>
      </c>
      <c r="I50" s="76">
        <f>H50</f>
        <v>0</v>
      </c>
      <c r="J50" s="355">
        <f>IF(I50&lt;=150000,I50,150000)</f>
        <v>0</v>
      </c>
    </row>
    <row r="51" spans="2:10" x14ac:dyDescent="0.2">
      <c r="B51" s="384"/>
      <c r="C51" s="41" t="s">
        <v>182</v>
      </c>
      <c r="D51" s="94" t="s">
        <v>248</v>
      </c>
      <c r="E51" s="901" t="str">
        <f>'ANNEXURE II'!C42</f>
        <v>National Pension Scheme_U/s 80CCD (1)(B)</v>
      </c>
      <c r="F51" s="901"/>
      <c r="G51" s="902"/>
      <c r="H51" s="76">
        <f>'ANNEXURE II'!H42</f>
        <v>0</v>
      </c>
      <c r="I51" s="76">
        <f>H51</f>
        <v>0</v>
      </c>
      <c r="J51" s="355">
        <f>IF(I51&lt;=50000,I51,50000)</f>
        <v>0</v>
      </c>
    </row>
    <row r="52" spans="2:10" x14ac:dyDescent="0.2">
      <c r="B52" s="384"/>
      <c r="C52" s="43"/>
      <c r="D52" s="901"/>
      <c r="E52" s="901"/>
      <c r="F52" s="901"/>
      <c r="G52" s="902"/>
      <c r="H52" s="76"/>
      <c r="I52" s="76"/>
      <c r="J52" s="355">
        <f>SUM(J50,J51)</f>
        <v>0</v>
      </c>
    </row>
    <row r="53" spans="2:10" x14ac:dyDescent="0.2">
      <c r="B53" s="384" t="s">
        <v>183</v>
      </c>
      <c r="C53" s="916" t="s">
        <v>184</v>
      </c>
      <c r="D53" s="916"/>
      <c r="E53" s="916"/>
      <c r="F53" s="44"/>
      <c r="G53" s="43"/>
      <c r="H53" s="73"/>
      <c r="I53" s="73"/>
      <c r="J53" s="385"/>
    </row>
    <row r="54" spans="2:10" x14ac:dyDescent="0.2">
      <c r="B54" s="384"/>
      <c r="C54" s="41" t="s">
        <v>79</v>
      </c>
      <c r="D54" s="44" t="s">
        <v>185</v>
      </c>
      <c r="E54" s="900" t="str">
        <f>'ANNEXURE II'!D22</f>
        <v>E.W.F &amp; S.W.F &amp; CMRF U/s 80G</v>
      </c>
      <c r="F54" s="900"/>
      <c r="G54" s="67"/>
      <c r="H54" s="76">
        <f>'ANNEXURE II'!H22</f>
        <v>70</v>
      </c>
      <c r="I54" s="76">
        <f>H54</f>
        <v>70</v>
      </c>
      <c r="J54" s="355"/>
    </row>
    <row r="55" spans="2:10" x14ac:dyDescent="0.2">
      <c r="B55" s="384"/>
      <c r="C55" s="41" t="s">
        <v>82</v>
      </c>
      <c r="D55" s="44" t="s">
        <v>186</v>
      </c>
      <c r="E55" s="900" t="str">
        <f>'ANNEXURE II'!D23</f>
        <v>Interest of educational loan u/s 24(B)</v>
      </c>
      <c r="F55" s="900"/>
      <c r="G55" s="67"/>
      <c r="H55" s="76">
        <f>'ANNEXURE II'!H23</f>
        <v>0</v>
      </c>
      <c r="I55" s="79">
        <f>H55</f>
        <v>0</v>
      </c>
      <c r="J55" s="355"/>
    </row>
    <row r="56" spans="2:10" x14ac:dyDescent="0.2">
      <c r="B56" s="384"/>
      <c r="C56" s="41" t="s">
        <v>83</v>
      </c>
      <c r="D56" s="44" t="s">
        <v>187</v>
      </c>
      <c r="E56" s="900" t="str">
        <f>'ANNEXURE II'!D24</f>
        <v>Interest of housing loan u/s 80E</v>
      </c>
      <c r="F56" s="900"/>
      <c r="G56" s="67"/>
      <c r="H56" s="76">
        <f>'ANNEXURE II'!H24</f>
        <v>0</v>
      </c>
      <c r="I56" s="79">
        <f>H56</f>
        <v>0</v>
      </c>
      <c r="J56" s="355"/>
    </row>
    <row r="57" spans="2:10" x14ac:dyDescent="0.2">
      <c r="B57" s="384"/>
      <c r="C57" s="41" t="s">
        <v>100</v>
      </c>
      <c r="D57" s="44" t="s">
        <v>188</v>
      </c>
      <c r="E57" s="900" t="str">
        <f>'ANNEXURE II'!D25</f>
        <v>Deductions for Disabled u/s 80U</v>
      </c>
      <c r="F57" s="900"/>
      <c r="G57" s="67"/>
      <c r="H57" s="76">
        <f>'ANNEXURE II'!H25</f>
        <v>0</v>
      </c>
      <c r="I57" s="79">
        <f>H57</f>
        <v>0</v>
      </c>
      <c r="J57" s="355"/>
    </row>
    <row r="58" spans="2:10" ht="15.75" customHeight="1" x14ac:dyDescent="0.2">
      <c r="B58" s="384"/>
      <c r="C58" s="41" t="s">
        <v>102</v>
      </c>
      <c r="D58" s="44" t="s">
        <v>189</v>
      </c>
      <c r="E58" s="900" t="str">
        <f>'ANNEXURE II'!D26</f>
        <v>Medical Insurance premium u/s 80D</v>
      </c>
      <c r="F58" s="900"/>
      <c r="G58" s="67"/>
      <c r="H58" s="76">
        <f>'ANNEXURE II'!H26</f>
        <v>0</v>
      </c>
      <c r="I58" s="79">
        <f t="shared" ref="I58:I59" si="2">H58</f>
        <v>0</v>
      </c>
      <c r="J58" s="355"/>
    </row>
    <row r="59" spans="2:10" x14ac:dyDescent="0.2">
      <c r="B59" s="384"/>
      <c r="C59" s="41" t="s">
        <v>103</v>
      </c>
      <c r="D59" s="44" t="s">
        <v>189</v>
      </c>
      <c r="E59" s="900" t="str">
        <f>'ANNEXURE II'!D27</f>
        <v>Employee Health Scheme      (EHS)</v>
      </c>
      <c r="F59" s="900"/>
      <c r="G59" s="67"/>
      <c r="H59" s="76">
        <f>'ANNEXURE II'!H27</f>
        <v>0</v>
      </c>
      <c r="I59" s="79">
        <f t="shared" si="2"/>
        <v>0</v>
      </c>
      <c r="J59" s="386"/>
    </row>
    <row r="60" spans="2:10" x14ac:dyDescent="0.2">
      <c r="B60" s="384"/>
      <c r="C60" s="41"/>
      <c r="D60" s="41"/>
      <c r="E60" s="912"/>
      <c r="F60" s="912"/>
      <c r="G60" s="912"/>
      <c r="H60" s="76">
        <f>SUM(H54:H59)</f>
        <v>70</v>
      </c>
      <c r="I60" s="80">
        <f>H60</f>
        <v>70</v>
      </c>
      <c r="J60" s="386">
        <f>I60</f>
        <v>70</v>
      </c>
    </row>
    <row r="61" spans="2:10" x14ac:dyDescent="0.2">
      <c r="B61" s="384"/>
      <c r="C61" s="913" t="s">
        <v>297</v>
      </c>
      <c r="D61" s="914"/>
      <c r="E61" s="914"/>
      <c r="F61" s="914"/>
      <c r="G61" s="914"/>
      <c r="H61" s="128"/>
      <c r="I61" s="129"/>
      <c r="J61" s="387">
        <f>J52+J60</f>
        <v>70</v>
      </c>
    </row>
    <row r="62" spans="2:10" ht="16.5" thickBot="1" x14ac:dyDescent="0.25">
      <c r="B62" s="388"/>
      <c r="C62" s="915" t="s">
        <v>190</v>
      </c>
      <c r="D62" s="915"/>
      <c r="E62" s="915"/>
      <c r="F62" s="915"/>
      <c r="G62" s="915"/>
      <c r="H62" s="389"/>
      <c r="I62" s="390"/>
      <c r="J62" s="391">
        <f>J37-J61</f>
        <v>-70</v>
      </c>
    </row>
    <row r="63" spans="2:10" ht="15.75" thickTop="1" x14ac:dyDescent="0.2">
      <c r="B63" s="102"/>
      <c r="C63" s="103"/>
      <c r="D63" s="905" t="str">
        <f>'ANNEXURE I'!E26</f>
        <v>Prepared by :   RAMANJANEYULU PERUMAL__S.G.TEACHER__ALUR MANDAL__KURNOOL Dist.</v>
      </c>
      <c r="E63" s="905"/>
      <c r="F63" s="905"/>
      <c r="G63" s="905"/>
      <c r="H63" s="905"/>
      <c r="I63" s="905"/>
      <c r="J63" s="103"/>
    </row>
  </sheetData>
  <sheetProtection algorithmName="SHA-512" hashValue="NKjLPJm6HhRiagtYThxDnnlVr5dypQeQUoXjKvODAsBGeQ5ktW/dJZh8UxW0E5a4rCH2A9dIoizVwR9B/PNYeA==" saltValue="qf3pCZE48MgwDA5LiO1vRA==" spinCount="100000" sheet="1" objects="1" scenarios="1" selectLockedCells="1" selectUnlockedCells="1"/>
  <protectedRanges>
    <protectedRange sqref="I40" name="Range5"/>
    <protectedRange sqref="F8:G8" name="Range2"/>
    <protectedRange sqref="E12:F15" name="Range1"/>
    <protectedRange sqref="H13:J15" name="Range3"/>
    <protectedRange sqref="H13:J15" name="Range4"/>
  </protectedRanges>
  <mergeCells count="79">
    <mergeCell ref="I2:J2"/>
    <mergeCell ref="B3:D3"/>
    <mergeCell ref="E3:H3"/>
    <mergeCell ref="E2:H2"/>
    <mergeCell ref="B7:E7"/>
    <mergeCell ref="B8:E8"/>
    <mergeCell ref="B4:J4"/>
    <mergeCell ref="B5:E5"/>
    <mergeCell ref="B6:E6"/>
    <mergeCell ref="I9:J9"/>
    <mergeCell ref="F9:H9"/>
    <mergeCell ref="B9:E9"/>
    <mergeCell ref="B12:D12"/>
    <mergeCell ref="F12:G12"/>
    <mergeCell ref="B10:J10"/>
    <mergeCell ref="B11:D11"/>
    <mergeCell ref="F11:G11"/>
    <mergeCell ref="H11:I11"/>
    <mergeCell ref="B13:D13"/>
    <mergeCell ref="F13:G13"/>
    <mergeCell ref="H13:H15"/>
    <mergeCell ref="I13:I15"/>
    <mergeCell ref="J13:J15"/>
    <mergeCell ref="B14:D14"/>
    <mergeCell ref="F14:G14"/>
    <mergeCell ref="B15:D15"/>
    <mergeCell ref="F15:G15"/>
    <mergeCell ref="D25:F25"/>
    <mergeCell ref="B16:J16"/>
    <mergeCell ref="C17:E17"/>
    <mergeCell ref="D18:G18"/>
    <mergeCell ref="D19:G19"/>
    <mergeCell ref="D20:G20"/>
    <mergeCell ref="D21:G21"/>
    <mergeCell ref="D22:G22"/>
    <mergeCell ref="D23:E23"/>
    <mergeCell ref="C24:G24"/>
    <mergeCell ref="C33:G33"/>
    <mergeCell ref="D34:E34"/>
    <mergeCell ref="D26:E26"/>
    <mergeCell ref="C27:E27"/>
    <mergeCell ref="C28:G28"/>
    <mergeCell ref="D29:E29"/>
    <mergeCell ref="D30:E30"/>
    <mergeCell ref="C31:E31"/>
    <mergeCell ref="D63:I63"/>
    <mergeCell ref="H6:J6"/>
    <mergeCell ref="H7:J7"/>
    <mergeCell ref="H8:J8"/>
    <mergeCell ref="J11:J12"/>
    <mergeCell ref="E60:G60"/>
    <mergeCell ref="C61:G61"/>
    <mergeCell ref="C62:G62"/>
    <mergeCell ref="D52:G52"/>
    <mergeCell ref="C53:E53"/>
    <mergeCell ref="C39:F39"/>
    <mergeCell ref="D35:E35"/>
    <mergeCell ref="D36:E36"/>
    <mergeCell ref="C37:E37"/>
    <mergeCell ref="C38:E38"/>
    <mergeCell ref="C32:E32"/>
    <mergeCell ref="E40:F40"/>
    <mergeCell ref="E41:F41"/>
    <mergeCell ref="E42:F42"/>
    <mergeCell ref="E44:F44"/>
    <mergeCell ref="E43:G43"/>
    <mergeCell ref="E45:F45"/>
    <mergeCell ref="E46:F46"/>
    <mergeCell ref="E47:F47"/>
    <mergeCell ref="E48:F48"/>
    <mergeCell ref="E49:F49"/>
    <mergeCell ref="E57:F57"/>
    <mergeCell ref="E58:F58"/>
    <mergeCell ref="E59:F59"/>
    <mergeCell ref="E50:F50"/>
    <mergeCell ref="E51:G51"/>
    <mergeCell ref="E54:F54"/>
    <mergeCell ref="E55:F55"/>
    <mergeCell ref="E56:F56"/>
  </mergeCells>
  <printOptions horizontalCentered="1" verticalCentered="1"/>
  <pageMargins left="0.23622047244094491" right="0.27559055118110237" top="0.31496062992125984" bottom="0.31496062992125984" header="0.39370078740157483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B1:K51"/>
  <sheetViews>
    <sheetView showGridLines="0" showRowColHeaders="0" zoomScaleNormal="100" zoomScalePageLayoutView="30" workbookViewId="0" xr3:uid="{F9CF3CF3-643B-5BE6-8B46-32C596A47465}">
      <pane xSplit="2" ySplit="2" topLeftCell="C3" activePane="bottomRight" state="frozen"/>
      <selection activeCell="V20" sqref="V20:W20"/>
      <selection pane="bottomLeft" activeCell="V20" sqref="V20:W20"/>
      <selection pane="topRight" activeCell="V20" sqref="V20:W20"/>
      <selection pane="bottomRight" activeCell="B51" sqref="B51:J51"/>
    </sheetView>
  </sheetViews>
  <sheetFormatPr defaultColWidth="9.14453125" defaultRowHeight="15" x14ac:dyDescent="0.2"/>
  <cols>
    <col min="1" max="1" width="0.94140625" style="6" customWidth="1"/>
    <col min="2" max="2" width="3.765625" style="6" customWidth="1"/>
    <col min="3" max="5" width="9.68359375" style="6" customWidth="1"/>
    <col min="6" max="6" width="10.22265625" style="6" customWidth="1"/>
    <col min="7" max="8" width="10.76171875" style="6" customWidth="1"/>
    <col min="9" max="9" width="12.64453125" style="6" customWidth="1"/>
    <col min="10" max="10" width="13.71875" style="6" customWidth="1"/>
    <col min="11" max="16384" width="9.14453125" style="6"/>
  </cols>
  <sheetData>
    <row r="1" spans="2:11" ht="8.1" customHeight="1" thickBot="1" x14ac:dyDescent="0.25"/>
    <row r="2" spans="2:11" ht="15.75" thickTop="1" x14ac:dyDescent="0.2">
      <c r="B2" s="349">
        <v>10</v>
      </c>
      <c r="C2" s="1014" t="s">
        <v>192</v>
      </c>
      <c r="D2" s="1015"/>
      <c r="E2" s="1015"/>
      <c r="F2" s="350"/>
      <c r="G2" s="351" t="s">
        <v>191</v>
      </c>
      <c r="H2" s="351"/>
      <c r="I2" s="352"/>
      <c r="J2" s="353">
        <f>FORM16_FRONT!J62</f>
        <v>-70</v>
      </c>
      <c r="K2" s="65"/>
    </row>
    <row r="3" spans="2:11" x14ac:dyDescent="0.2">
      <c r="B3" s="354">
        <v>11</v>
      </c>
      <c r="C3" s="1016" t="s">
        <v>193</v>
      </c>
      <c r="D3" s="918"/>
      <c r="E3" s="918"/>
      <c r="F3" s="104"/>
      <c r="G3" s="342" t="s">
        <v>194</v>
      </c>
      <c r="H3" s="87"/>
      <c r="I3" s="85"/>
      <c r="J3" s="355">
        <f>'ANNEXURE II'!I44</f>
        <v>-250070</v>
      </c>
      <c r="K3" s="65"/>
    </row>
    <row r="4" spans="2:11" x14ac:dyDescent="0.2">
      <c r="B4" s="354">
        <v>12</v>
      </c>
      <c r="C4" s="1016" t="s">
        <v>195</v>
      </c>
      <c r="D4" s="918"/>
      <c r="E4" s="918"/>
      <c r="F4" s="1017"/>
      <c r="G4" s="1017"/>
      <c r="H4" s="1017"/>
      <c r="I4" s="86">
        <f>'ANNEXURE II'!H50</f>
        <v>2500</v>
      </c>
      <c r="J4" s="355">
        <f>IF(AND(J2&lt;=350000,J3&gt;2500),2500,IF(AND(J2&gt;350000),0,0))</f>
        <v>0</v>
      </c>
    </row>
    <row r="5" spans="2:11" ht="15" customHeight="1" x14ac:dyDescent="0.2">
      <c r="B5" s="354">
        <v>13</v>
      </c>
      <c r="C5" s="1016" t="s">
        <v>196</v>
      </c>
      <c r="D5" s="918"/>
      <c r="E5" s="918"/>
      <c r="F5" s="918"/>
      <c r="G5" s="918"/>
      <c r="H5" s="918"/>
      <c r="I5" s="85"/>
      <c r="J5" s="355">
        <f>'ANNEXURE II'!I51</f>
        <v>0</v>
      </c>
      <c r="K5" s="66"/>
    </row>
    <row r="6" spans="2:11" ht="15" customHeight="1" x14ac:dyDescent="0.2">
      <c r="B6" s="354">
        <v>14</v>
      </c>
      <c r="C6" s="1016" t="s">
        <v>197</v>
      </c>
      <c r="D6" s="918"/>
      <c r="E6" s="918"/>
      <c r="F6" s="90">
        <v>0.02</v>
      </c>
      <c r="G6" s="346" t="s">
        <v>198</v>
      </c>
      <c r="H6" s="88"/>
      <c r="I6" s="85"/>
      <c r="J6" s="355">
        <f>'ANNEXURE II'!I52</f>
        <v>0</v>
      </c>
      <c r="K6" s="66"/>
    </row>
    <row r="7" spans="2:11" x14ac:dyDescent="0.2">
      <c r="B7" s="354">
        <v>15</v>
      </c>
      <c r="C7" s="1016" t="s">
        <v>134</v>
      </c>
      <c r="D7" s="918"/>
      <c r="E7" s="918"/>
      <c r="F7" s="90">
        <v>0.01</v>
      </c>
      <c r="G7" s="346" t="s">
        <v>198</v>
      </c>
      <c r="H7" s="88"/>
      <c r="I7" s="85"/>
      <c r="J7" s="355">
        <f>'ANNEXURE II'!I53</f>
        <v>0</v>
      </c>
    </row>
    <row r="8" spans="2:11" x14ac:dyDescent="0.2">
      <c r="B8" s="354">
        <v>16</v>
      </c>
      <c r="C8" s="1016" t="s">
        <v>199</v>
      </c>
      <c r="D8" s="918"/>
      <c r="E8" s="918"/>
      <c r="F8" s="342"/>
      <c r="G8" s="346" t="s">
        <v>200</v>
      </c>
      <c r="H8" s="87"/>
      <c r="I8" s="85"/>
      <c r="J8" s="355">
        <f>SUM(J5:J7)</f>
        <v>0</v>
      </c>
    </row>
    <row r="9" spans="2:11" x14ac:dyDescent="0.2">
      <c r="B9" s="354">
        <v>17</v>
      </c>
      <c r="C9" s="1016" t="s">
        <v>201</v>
      </c>
      <c r="D9" s="918"/>
      <c r="E9" s="918"/>
      <c r="F9" s="918"/>
      <c r="G9" s="87"/>
      <c r="H9" s="87"/>
      <c r="I9" s="85"/>
      <c r="J9" s="355">
        <v>0</v>
      </c>
    </row>
    <row r="10" spans="2:11" x14ac:dyDescent="0.2">
      <c r="B10" s="354">
        <v>18</v>
      </c>
      <c r="C10" s="1016" t="s">
        <v>199</v>
      </c>
      <c r="D10" s="918"/>
      <c r="E10" s="918"/>
      <c r="F10" s="342"/>
      <c r="G10" s="346" t="s">
        <v>202</v>
      </c>
      <c r="H10" s="87"/>
      <c r="I10" s="85"/>
      <c r="J10" s="355">
        <f>J8-J9</f>
        <v>0</v>
      </c>
    </row>
    <row r="11" spans="2:11" x14ac:dyDescent="0.2">
      <c r="B11" s="356"/>
      <c r="C11" s="1018" t="s">
        <v>203</v>
      </c>
      <c r="D11" s="918"/>
      <c r="E11" s="918"/>
      <c r="F11" s="87"/>
      <c r="G11" s="87"/>
      <c r="H11" s="87"/>
      <c r="I11" s="85"/>
      <c r="J11" s="355">
        <f>'ANNEXURE II'!H60</f>
        <v>0</v>
      </c>
    </row>
    <row r="12" spans="2:11" x14ac:dyDescent="0.2">
      <c r="B12" s="354"/>
      <c r="C12" s="1012" t="s">
        <v>204</v>
      </c>
      <c r="D12" s="1013"/>
      <c r="E12" s="1013"/>
      <c r="F12" s="1013"/>
      <c r="G12" s="1013"/>
      <c r="H12" s="1013"/>
      <c r="I12" s="85"/>
      <c r="J12" s="355">
        <v>0</v>
      </c>
    </row>
    <row r="13" spans="2:11" x14ac:dyDescent="0.2">
      <c r="B13" s="357">
        <v>19</v>
      </c>
      <c r="C13" s="988" t="s">
        <v>199</v>
      </c>
      <c r="D13" s="989"/>
      <c r="E13" s="989"/>
      <c r="F13" s="89"/>
      <c r="G13" s="990" t="str">
        <f>'ANNEXURE II'!H61</f>
        <v/>
      </c>
      <c r="H13" s="991"/>
      <c r="I13" s="85"/>
      <c r="J13" s="358" t="str">
        <f>'ANNEXURE II'!I61</f>
        <v>NO TAX</v>
      </c>
    </row>
    <row r="14" spans="2:11" ht="20.100000000000001" customHeight="1" x14ac:dyDescent="0.2">
      <c r="B14" s="992" t="s">
        <v>205</v>
      </c>
      <c r="C14" s="993"/>
      <c r="D14" s="993"/>
      <c r="E14" s="993"/>
      <c r="F14" s="993"/>
      <c r="G14" s="993"/>
      <c r="H14" s="993"/>
      <c r="I14" s="993"/>
      <c r="J14" s="994"/>
    </row>
    <row r="15" spans="2:11" ht="20.100000000000001" customHeight="1" x14ac:dyDescent="0.2">
      <c r="B15" s="995" t="s">
        <v>206</v>
      </c>
      <c r="C15" s="996"/>
      <c r="D15" s="996"/>
      <c r="E15" s="996"/>
      <c r="F15" s="996"/>
      <c r="G15" s="996"/>
      <c r="H15" s="996"/>
      <c r="I15" s="996"/>
      <c r="J15" s="997"/>
    </row>
    <row r="16" spans="2:11" ht="14.1" customHeight="1" x14ac:dyDescent="0.2">
      <c r="B16" s="1001" t="s">
        <v>251</v>
      </c>
      <c r="C16" s="1004" t="s">
        <v>258</v>
      </c>
      <c r="D16" s="1004" t="s">
        <v>257</v>
      </c>
      <c r="E16" s="1004" t="s">
        <v>256</v>
      </c>
      <c r="F16" s="1004" t="s">
        <v>255</v>
      </c>
      <c r="G16" s="1007" t="s">
        <v>254</v>
      </c>
      <c r="H16" s="1004" t="s">
        <v>253</v>
      </c>
      <c r="I16" s="1004" t="s">
        <v>252</v>
      </c>
      <c r="J16" s="998" t="s">
        <v>207</v>
      </c>
    </row>
    <row r="17" spans="2:10" ht="14.1" customHeight="1" x14ac:dyDescent="0.2">
      <c r="B17" s="1002"/>
      <c r="C17" s="1010"/>
      <c r="D17" s="1010"/>
      <c r="E17" s="1005"/>
      <c r="F17" s="1005"/>
      <c r="G17" s="1008"/>
      <c r="H17" s="1005"/>
      <c r="I17" s="1005"/>
      <c r="J17" s="999"/>
    </row>
    <row r="18" spans="2:10" ht="14.1" customHeight="1" x14ac:dyDescent="0.2">
      <c r="B18" s="1003"/>
      <c r="C18" s="1011"/>
      <c r="D18" s="1011"/>
      <c r="E18" s="1006"/>
      <c r="F18" s="1006"/>
      <c r="G18" s="1009"/>
      <c r="H18" s="1006"/>
      <c r="I18" s="1006"/>
      <c r="J18" s="1000"/>
    </row>
    <row r="19" spans="2:10" ht="17.100000000000001" customHeight="1" x14ac:dyDescent="0.2">
      <c r="B19" s="359">
        <v>1</v>
      </c>
      <c r="C19" s="57"/>
      <c r="D19" s="57"/>
      <c r="E19" s="57"/>
      <c r="F19" s="57"/>
      <c r="G19" s="46"/>
      <c r="H19" s="46"/>
      <c r="I19" s="47"/>
      <c r="J19" s="360"/>
    </row>
    <row r="20" spans="2:10" ht="17.100000000000001" customHeight="1" x14ac:dyDescent="0.2">
      <c r="B20" s="361">
        <v>2</v>
      </c>
      <c r="C20" s="57"/>
      <c r="D20" s="57"/>
      <c r="E20" s="57"/>
      <c r="F20" s="57"/>
      <c r="G20" s="46"/>
      <c r="H20" s="46"/>
      <c r="I20" s="47"/>
      <c r="J20" s="360"/>
    </row>
    <row r="21" spans="2:10" ht="17.100000000000001" customHeight="1" x14ac:dyDescent="0.2">
      <c r="B21" s="361">
        <v>3</v>
      </c>
      <c r="C21" s="57"/>
      <c r="D21" s="57"/>
      <c r="E21" s="57"/>
      <c r="F21" s="57"/>
      <c r="G21" s="46"/>
      <c r="H21" s="46"/>
      <c r="I21" s="47"/>
      <c r="J21" s="360"/>
    </row>
    <row r="22" spans="2:10" ht="17.100000000000001" customHeight="1" x14ac:dyDescent="0.2">
      <c r="B22" s="361">
        <v>4</v>
      </c>
      <c r="C22" s="57"/>
      <c r="D22" s="57"/>
      <c r="E22" s="57"/>
      <c r="F22" s="57"/>
      <c r="G22" s="46"/>
      <c r="H22" s="46"/>
      <c r="I22" s="47"/>
      <c r="J22" s="360"/>
    </row>
    <row r="23" spans="2:10" ht="17.100000000000001" customHeight="1" x14ac:dyDescent="0.2">
      <c r="B23" s="361">
        <v>5</v>
      </c>
      <c r="C23" s="57"/>
      <c r="D23" s="57"/>
      <c r="E23" s="57"/>
      <c r="F23" s="57"/>
      <c r="G23" s="46"/>
      <c r="H23" s="46"/>
      <c r="I23" s="47"/>
      <c r="J23" s="360"/>
    </row>
    <row r="24" spans="2:10" ht="17.100000000000001" customHeight="1" x14ac:dyDescent="0.2">
      <c r="B24" s="361">
        <v>6</v>
      </c>
      <c r="C24" s="57"/>
      <c r="D24" s="57"/>
      <c r="E24" s="57"/>
      <c r="F24" s="57"/>
      <c r="G24" s="46"/>
      <c r="H24" s="46"/>
      <c r="I24" s="47"/>
      <c r="J24" s="360"/>
    </row>
    <row r="25" spans="2:10" ht="17.100000000000001" customHeight="1" x14ac:dyDescent="0.2">
      <c r="B25" s="361">
        <v>7</v>
      </c>
      <c r="C25" s="57"/>
      <c r="D25" s="57"/>
      <c r="E25" s="57"/>
      <c r="F25" s="57"/>
      <c r="G25" s="46"/>
      <c r="H25" s="46"/>
      <c r="I25" s="47"/>
      <c r="J25" s="360"/>
    </row>
    <row r="26" spans="2:10" ht="17.100000000000001" customHeight="1" x14ac:dyDescent="0.2">
      <c r="B26" s="361">
        <v>8</v>
      </c>
      <c r="C26" s="57"/>
      <c r="D26" s="57"/>
      <c r="E26" s="57"/>
      <c r="F26" s="57"/>
      <c r="G26" s="46"/>
      <c r="H26" s="46"/>
      <c r="I26" s="47"/>
      <c r="J26" s="360"/>
    </row>
    <row r="27" spans="2:10" ht="17.100000000000001" customHeight="1" x14ac:dyDescent="0.2">
      <c r="B27" s="361">
        <v>9</v>
      </c>
      <c r="C27" s="57"/>
      <c r="D27" s="57"/>
      <c r="E27" s="57"/>
      <c r="F27" s="57"/>
      <c r="G27" s="46"/>
      <c r="H27" s="46"/>
      <c r="I27" s="47"/>
      <c r="J27" s="360"/>
    </row>
    <row r="28" spans="2:10" ht="17.100000000000001" customHeight="1" x14ac:dyDescent="0.2">
      <c r="B28" s="361">
        <v>10</v>
      </c>
      <c r="C28" s="57"/>
      <c r="D28" s="57"/>
      <c r="E28" s="57"/>
      <c r="F28" s="57"/>
      <c r="G28" s="46"/>
      <c r="H28" s="46"/>
      <c r="I28" s="47"/>
      <c r="J28" s="360"/>
    </row>
    <row r="29" spans="2:10" ht="17.100000000000001" customHeight="1" x14ac:dyDescent="0.2">
      <c r="B29" s="361">
        <v>11</v>
      </c>
      <c r="C29" s="57"/>
      <c r="D29" s="57"/>
      <c r="E29" s="57"/>
      <c r="F29" s="57"/>
      <c r="G29" s="46"/>
      <c r="H29" s="46"/>
      <c r="I29" s="47"/>
      <c r="J29" s="360"/>
    </row>
    <row r="30" spans="2:10" ht="17.100000000000001" customHeight="1" x14ac:dyDescent="0.2">
      <c r="B30" s="362">
        <v>12</v>
      </c>
      <c r="C30" s="57"/>
      <c r="D30" s="57"/>
      <c r="E30" s="57"/>
      <c r="F30" s="57"/>
      <c r="G30" s="46"/>
      <c r="H30" s="46"/>
      <c r="I30" s="47"/>
      <c r="J30" s="363"/>
    </row>
    <row r="31" spans="2:10" ht="17.100000000000001" customHeight="1" x14ac:dyDescent="0.2">
      <c r="B31" s="364"/>
      <c r="C31" s="57" t="s">
        <v>93</v>
      </c>
      <c r="D31" s="57" t="s">
        <v>93</v>
      </c>
      <c r="E31" s="57" t="s">
        <v>93</v>
      </c>
      <c r="F31" s="57" t="s">
        <v>93</v>
      </c>
      <c r="G31" s="48"/>
      <c r="H31" s="48"/>
      <c r="I31" s="48"/>
      <c r="J31" s="365"/>
    </row>
    <row r="32" spans="2:10" ht="17.100000000000001" customHeight="1" x14ac:dyDescent="0.2">
      <c r="B32" s="366"/>
      <c r="C32" s="124"/>
      <c r="D32" s="124"/>
      <c r="E32" s="124"/>
      <c r="F32" s="124"/>
      <c r="G32" s="125"/>
      <c r="H32" s="125"/>
      <c r="I32" s="125"/>
      <c r="J32" s="367"/>
    </row>
    <row r="33" spans="2:10" x14ac:dyDescent="0.2">
      <c r="B33" s="368"/>
      <c r="C33" s="45"/>
      <c r="D33" s="45"/>
      <c r="E33" s="45"/>
      <c r="F33" s="45"/>
      <c r="G33" s="49"/>
      <c r="H33" s="45"/>
      <c r="I33" s="45"/>
      <c r="J33" s="369"/>
    </row>
    <row r="34" spans="2:10" ht="20.100000000000001" customHeight="1" x14ac:dyDescent="0.2">
      <c r="B34" s="370"/>
      <c r="C34" s="348"/>
      <c r="D34" s="91" t="s">
        <v>240</v>
      </c>
      <c r="E34" s="985" t="str">
        <f>CONCATENATE("Sri / Smt.    ",UPPER(INFO!B11))</f>
        <v xml:space="preserve">Sri / Smt.    </v>
      </c>
      <c r="F34" s="985"/>
      <c r="G34" s="985"/>
      <c r="H34" s="985"/>
      <c r="I34" s="986" t="s">
        <v>208</v>
      </c>
      <c r="J34" s="987"/>
    </row>
    <row r="35" spans="2:10" ht="20.100000000000001" customHeight="1" x14ac:dyDescent="0.2">
      <c r="B35" s="967" t="s">
        <v>209</v>
      </c>
      <c r="C35" s="968"/>
      <c r="D35" s="969" t="str">
        <f>UPPER(INFO!B12)</f>
        <v/>
      </c>
      <c r="E35" s="969"/>
      <c r="F35" s="969"/>
      <c r="G35" s="969"/>
      <c r="H35" s="964" t="s">
        <v>210</v>
      </c>
      <c r="I35" s="964"/>
      <c r="J35" s="965"/>
    </row>
    <row r="36" spans="2:10" ht="20.100000000000001" customHeight="1" x14ac:dyDescent="0.2">
      <c r="B36" s="970" t="s">
        <v>211</v>
      </c>
      <c r="C36" s="971"/>
      <c r="D36" s="405" t="str">
        <f>J13</f>
        <v>NO TAX</v>
      </c>
      <c r="E36" s="983" t="str">
        <f>IF(D36&gt;0,CONCATENATE("( ",NUM_WORD_TAX!E13," )",""))</f>
        <v>( Zero )</v>
      </c>
      <c r="F36" s="983"/>
      <c r="G36" s="983"/>
      <c r="H36" s="983"/>
      <c r="I36" s="983"/>
      <c r="J36" s="984"/>
    </row>
    <row r="37" spans="2:10" ht="20.100000000000001" customHeight="1" x14ac:dyDescent="0.2">
      <c r="B37" s="963" t="s">
        <v>212</v>
      </c>
      <c r="C37" s="964"/>
      <c r="D37" s="964"/>
      <c r="E37" s="964"/>
      <c r="F37" s="964"/>
      <c r="G37" s="964"/>
      <c r="H37" s="964"/>
      <c r="I37" s="964"/>
      <c r="J37" s="965"/>
    </row>
    <row r="38" spans="2:10" ht="20.100000000000001" customHeight="1" x14ac:dyDescent="0.2">
      <c r="B38" s="963" t="s">
        <v>321</v>
      </c>
      <c r="C38" s="964"/>
      <c r="D38" s="964"/>
      <c r="E38" s="964"/>
      <c r="F38" s="964"/>
      <c r="G38" s="964"/>
      <c r="H38" s="964"/>
      <c r="I38" s="964"/>
      <c r="J38" s="965"/>
    </row>
    <row r="39" spans="2:10" ht="20.100000000000001" customHeight="1" x14ac:dyDescent="0.2">
      <c r="B39" s="963" t="s">
        <v>322</v>
      </c>
      <c r="C39" s="964"/>
      <c r="D39" s="964"/>
      <c r="E39" s="964"/>
      <c r="F39" s="964"/>
      <c r="G39" s="964"/>
      <c r="H39" s="964"/>
      <c r="I39" s="964"/>
      <c r="J39" s="965"/>
    </row>
    <row r="40" spans="2:10" ht="50.1" customHeight="1" x14ac:dyDescent="0.2">
      <c r="B40" s="371"/>
      <c r="C40" s="50"/>
      <c r="D40" s="50"/>
      <c r="E40" s="50"/>
      <c r="F40" s="84"/>
      <c r="G40" s="83"/>
      <c r="H40" s="83"/>
      <c r="I40" s="83"/>
      <c r="J40" s="372"/>
    </row>
    <row r="41" spans="2:10" ht="15" customHeight="1" x14ac:dyDescent="0.2">
      <c r="B41" s="373"/>
      <c r="C41" s="56" t="s">
        <v>213</v>
      </c>
      <c r="D41" s="966" t="str">
        <f>UPPER(INFO!B9)</f>
        <v/>
      </c>
      <c r="E41" s="966"/>
      <c r="F41" s="972" t="s">
        <v>214</v>
      </c>
      <c r="G41" s="972"/>
      <c r="H41" s="972"/>
      <c r="I41" s="972"/>
      <c r="J41" s="973"/>
    </row>
    <row r="42" spans="2:10" ht="15" customHeight="1" x14ac:dyDescent="0.2">
      <c r="B42" s="373"/>
      <c r="C42" s="56" t="s">
        <v>215</v>
      </c>
      <c r="D42" s="980">
        <f ca="1">TODAY()</f>
        <v>43088</v>
      </c>
      <c r="E42" s="980"/>
      <c r="F42" s="105"/>
      <c r="G42" s="95" t="s">
        <v>250</v>
      </c>
      <c r="H42" s="974" t="str">
        <f>UPPER(E34)</f>
        <v xml:space="preserve">SRI / SMT.    </v>
      </c>
      <c r="I42" s="974"/>
      <c r="J42" s="975"/>
    </row>
    <row r="43" spans="2:10" ht="15" customHeight="1" x14ac:dyDescent="0.2">
      <c r="B43" s="374"/>
      <c r="C43" s="51"/>
      <c r="D43" s="51"/>
      <c r="E43" s="52"/>
      <c r="F43" s="105"/>
      <c r="G43" s="96" t="s">
        <v>216</v>
      </c>
      <c r="H43" s="981" t="str">
        <f>UPPER(D35)</f>
        <v/>
      </c>
      <c r="I43" s="981"/>
      <c r="J43" s="982"/>
    </row>
    <row r="44" spans="2:10" ht="15" customHeight="1" x14ac:dyDescent="0.2">
      <c r="B44" s="374"/>
      <c r="C44" s="51"/>
      <c r="D44" s="51"/>
      <c r="E44" s="51"/>
      <c r="F44" s="105"/>
      <c r="G44" s="95" t="s">
        <v>217</v>
      </c>
      <c r="H44" s="981" t="str">
        <f>UPPER(INFO!B8)</f>
        <v/>
      </c>
      <c r="I44" s="981"/>
      <c r="J44" s="982"/>
    </row>
    <row r="45" spans="2:10" ht="15" customHeight="1" x14ac:dyDescent="0.2">
      <c r="B45" s="374"/>
      <c r="C45" s="51"/>
      <c r="D45" s="51"/>
      <c r="E45" s="51"/>
      <c r="F45" s="105"/>
      <c r="G45" s="95" t="s">
        <v>218</v>
      </c>
      <c r="H45" s="981" t="str">
        <f>UPPER(INFO!B9)</f>
        <v/>
      </c>
      <c r="I45" s="981"/>
      <c r="J45" s="982"/>
    </row>
    <row r="46" spans="2:10" ht="15" customHeight="1" x14ac:dyDescent="0.2">
      <c r="B46" s="374"/>
      <c r="C46" s="51"/>
      <c r="D46" s="51"/>
      <c r="E46" s="51"/>
      <c r="F46" s="105"/>
      <c r="G46" s="95" t="s">
        <v>219</v>
      </c>
      <c r="H46" s="981" t="str">
        <f>UPPER(INFO!B10)</f>
        <v/>
      </c>
      <c r="I46" s="981"/>
      <c r="J46" s="982"/>
    </row>
    <row r="47" spans="2:10" ht="15" customHeight="1" x14ac:dyDescent="0.2">
      <c r="B47" s="374"/>
      <c r="C47" s="51"/>
      <c r="D47" s="51"/>
      <c r="E47" s="51"/>
      <c r="F47" s="105"/>
      <c r="G47" s="95"/>
      <c r="H47" s="347"/>
      <c r="I47" s="347"/>
      <c r="J47" s="375"/>
    </row>
    <row r="48" spans="2:10" ht="15" customHeight="1" thickBot="1" x14ac:dyDescent="0.25">
      <c r="B48" s="374"/>
      <c r="C48" s="51"/>
      <c r="D48" s="51"/>
      <c r="E48" s="51"/>
      <c r="F48" s="105"/>
      <c r="G48" s="95"/>
      <c r="H48" s="347"/>
      <c r="I48" s="347"/>
      <c r="J48" s="375"/>
    </row>
    <row r="49" spans="2:10" x14ac:dyDescent="0.2">
      <c r="B49" s="376">
        <v>1</v>
      </c>
      <c r="C49" s="976" t="s">
        <v>241</v>
      </c>
      <c r="D49" s="976"/>
      <c r="E49" s="976"/>
      <c r="F49" s="976"/>
      <c r="G49" s="976"/>
      <c r="H49" s="976"/>
      <c r="I49" s="976"/>
      <c r="J49" s="977"/>
    </row>
    <row r="50" spans="2:10" ht="15.75" thickBot="1" x14ac:dyDescent="0.25">
      <c r="B50" s="377">
        <v>2</v>
      </c>
      <c r="C50" s="978" t="s">
        <v>242</v>
      </c>
      <c r="D50" s="978"/>
      <c r="E50" s="978"/>
      <c r="F50" s="978"/>
      <c r="G50" s="978"/>
      <c r="H50" s="978"/>
      <c r="I50" s="978"/>
      <c r="J50" s="979"/>
    </row>
    <row r="51" spans="2:10" ht="15.75" thickTop="1" x14ac:dyDescent="0.2">
      <c r="B51" s="962" t="str">
        <f>'ANNEXURE I'!E26</f>
        <v>Prepared by :   RAMANJANEYULU PERUMAL__S.G.TEACHER__ALUR MANDAL__KURNOOL Dist.</v>
      </c>
      <c r="C51" s="962"/>
      <c r="D51" s="962"/>
      <c r="E51" s="962"/>
      <c r="F51" s="962"/>
      <c r="G51" s="962"/>
      <c r="H51" s="962"/>
      <c r="I51" s="962"/>
      <c r="J51" s="962"/>
    </row>
  </sheetData>
  <sheetProtection algorithmName="SHA-512" hashValue="FUeFGkYIUo+JOwb21/sOb8TRV8oiVxJtTt9LFCz9iPEUTOas8YIKzzyOpQfA931Bdcrnpo2b0oZ7LH2tZ9m2Cg==" saltValue="OrksvFyyiv+5IYQhVgpm7A==" spinCount="100000" sheet="1" objects="1" scenarios="1" selectLockedCells="1" selectUnlockedCells="1"/>
  <protectedRanges>
    <protectedRange sqref="J4" name="Range5"/>
    <protectedRange sqref="D41:E42" name="Range3"/>
    <protectedRange sqref="C19:J32" name="Range1"/>
    <protectedRange sqref="D35 F35 B34:C36 H34:J35 D34:F34 G35:G36 D36" name="Range2"/>
    <protectedRange sqref="D41:D42" name="Range4"/>
  </protectedRanges>
  <mergeCells count="46">
    <mergeCell ref="C12:H12"/>
    <mergeCell ref="C2:E2"/>
    <mergeCell ref="C3:E3"/>
    <mergeCell ref="C4:E4"/>
    <mergeCell ref="F4:H4"/>
    <mergeCell ref="C5:H5"/>
    <mergeCell ref="C6:E6"/>
    <mergeCell ref="C7:E7"/>
    <mergeCell ref="C8:E8"/>
    <mergeCell ref="C9:F9"/>
    <mergeCell ref="C10:E10"/>
    <mergeCell ref="C11:E11"/>
    <mergeCell ref="C13:E13"/>
    <mergeCell ref="G13:H13"/>
    <mergeCell ref="B14:J14"/>
    <mergeCell ref="B15:J15"/>
    <mergeCell ref="J16:J18"/>
    <mergeCell ref="B16:B18"/>
    <mergeCell ref="I16:I18"/>
    <mergeCell ref="H16:H18"/>
    <mergeCell ref="G16:G18"/>
    <mergeCell ref="F16:F18"/>
    <mergeCell ref="E16:E18"/>
    <mergeCell ref="D16:D18"/>
    <mergeCell ref="C16:C18"/>
    <mergeCell ref="H46:J46"/>
    <mergeCell ref="H44:J44"/>
    <mergeCell ref="H43:J43"/>
    <mergeCell ref="E34:H34"/>
    <mergeCell ref="I34:J34"/>
    <mergeCell ref="B51:J51"/>
    <mergeCell ref="B39:J39"/>
    <mergeCell ref="D41:E41"/>
    <mergeCell ref="B35:C35"/>
    <mergeCell ref="D35:G35"/>
    <mergeCell ref="H35:J35"/>
    <mergeCell ref="B36:C36"/>
    <mergeCell ref="B37:J37"/>
    <mergeCell ref="B38:J38"/>
    <mergeCell ref="F41:J41"/>
    <mergeCell ref="H42:J42"/>
    <mergeCell ref="C49:J49"/>
    <mergeCell ref="C50:J50"/>
    <mergeCell ref="D42:E42"/>
    <mergeCell ref="H45:J45"/>
    <mergeCell ref="E36:J36"/>
  </mergeCells>
  <printOptions horizontalCentered="1" verticalCentered="1"/>
  <pageMargins left="0.23622047244094491" right="0.27559055118110237" top="0.31496062992125984" bottom="0.31496062992125984" header="0.39370078740157483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B1:G55"/>
  <sheetViews>
    <sheetView showGridLines="0" showRowColHeaders="0" zoomScaleNormal="100" workbookViewId="0" xr3:uid="{78B4E459-6924-5F8B-B7BA-2DD04133E49E}">
      <pane xSplit="1" ySplit="8" topLeftCell="B9" activePane="bottomRight" state="frozen"/>
      <selection activeCell="V20" sqref="V20:W20"/>
      <selection pane="bottomLeft" activeCell="V20" sqref="V20:W20"/>
      <selection pane="topRight" activeCell="V20" sqref="V20:W20"/>
      <selection pane="bottomRight" activeCell="B2" sqref="B2:G2"/>
    </sheetView>
  </sheetViews>
  <sheetFormatPr defaultRowHeight="15" x14ac:dyDescent="0.2"/>
  <cols>
    <col min="1" max="1" width="1.34375" customWidth="1"/>
    <col min="2" max="2" width="5.6484375" customWidth="1"/>
    <col min="3" max="3" width="4.70703125" customWidth="1"/>
    <col min="4" max="4" width="9.28125" customWidth="1"/>
    <col min="5" max="5" width="40.7578125" customWidth="1"/>
    <col min="6" max="6" width="15.73828125" style="142" customWidth="1"/>
    <col min="7" max="7" width="24.75" style="142" customWidth="1"/>
  </cols>
  <sheetData>
    <row r="1" spans="2:7" ht="5.0999999999999996" customHeight="1" thickBot="1" x14ac:dyDescent="0.25"/>
    <row r="2" spans="2:7" ht="19.5" thickTop="1" x14ac:dyDescent="0.2">
      <c r="B2" s="1022" t="s">
        <v>323</v>
      </c>
      <c r="C2" s="1023"/>
      <c r="D2" s="1023"/>
      <c r="E2" s="1023"/>
      <c r="F2" s="1023"/>
      <c r="G2" s="1024"/>
    </row>
    <row r="3" spans="2:7" x14ac:dyDescent="0.2">
      <c r="B3" s="1025" t="s">
        <v>324</v>
      </c>
      <c r="C3" s="1026"/>
      <c r="D3" s="1026"/>
      <c r="E3" s="1026"/>
      <c r="F3" s="1026"/>
      <c r="G3" s="1027"/>
    </row>
    <row r="4" spans="2:7" ht="20.100000000000001" customHeight="1" x14ac:dyDescent="0.2">
      <c r="B4" s="1025" t="s">
        <v>377</v>
      </c>
      <c r="C4" s="1026"/>
      <c r="D4" s="1026"/>
      <c r="E4" s="1026"/>
      <c r="F4" s="1026"/>
      <c r="G4" s="1027"/>
    </row>
    <row r="5" spans="2:7" ht="15.95" customHeight="1" x14ac:dyDescent="0.2">
      <c r="B5" s="1019" t="str">
        <f>CONCATENATE("1. Name and address of the employee :    ",INFO!B2,"_",INFO!B8)</f>
        <v>1. Name and address of the employee :    _</v>
      </c>
      <c r="C5" s="1020"/>
      <c r="D5" s="1020"/>
      <c r="E5" s="1020"/>
      <c r="F5" s="1020"/>
      <c r="G5" s="1021"/>
    </row>
    <row r="6" spans="2:7" ht="15.95" customHeight="1" x14ac:dyDescent="0.2">
      <c r="B6" s="1019" t="str">
        <f>CONCATENATE("2. Permanent Account Number of the employee  :   ",INFO!B4)</f>
        <v xml:space="preserve">2. Permanent Account Number of the employee  :   </v>
      </c>
      <c r="C6" s="1020"/>
      <c r="D6" s="1020"/>
      <c r="E6" s="1020"/>
      <c r="F6" s="1020"/>
      <c r="G6" s="1021"/>
    </row>
    <row r="7" spans="2:7" ht="15.95" customHeight="1" x14ac:dyDescent="0.2">
      <c r="B7" s="1019" t="str">
        <f>CONCATENATE("3. Aadhaar Number of the employee  :  ",INFO!B5)</f>
        <v xml:space="preserve">3. Aadhaar Number of the employee  :  </v>
      </c>
      <c r="C7" s="1020"/>
      <c r="D7" s="1020"/>
      <c r="E7" s="1020"/>
      <c r="F7" s="1020"/>
      <c r="G7" s="1021"/>
    </row>
    <row r="8" spans="2:7" ht="15.95" customHeight="1" x14ac:dyDescent="0.2">
      <c r="B8" s="1019" t="str">
        <f>CONCATENATE("4. Financial year  :      ",'ANNEXURE II'!B3)</f>
        <v>4. Financial year  :      2017-18</v>
      </c>
      <c r="C8" s="1020"/>
      <c r="D8" s="1020"/>
      <c r="E8" s="1020"/>
      <c r="F8" s="1020"/>
      <c r="G8" s="1021"/>
    </row>
    <row r="9" spans="2:7" ht="20.100000000000001" customHeight="1" x14ac:dyDescent="0.2">
      <c r="B9" s="1040" t="s">
        <v>378</v>
      </c>
      <c r="C9" s="1041"/>
      <c r="D9" s="1041"/>
      <c r="E9" s="1041"/>
      <c r="F9" s="1041"/>
      <c r="G9" s="1042"/>
    </row>
    <row r="10" spans="2:7" ht="23.1" customHeight="1" x14ac:dyDescent="0.2">
      <c r="B10" s="170" t="s">
        <v>251</v>
      </c>
      <c r="C10" s="1043" t="s">
        <v>325</v>
      </c>
      <c r="D10" s="1044"/>
      <c r="E10" s="1045"/>
      <c r="F10" s="171" t="s">
        <v>326</v>
      </c>
      <c r="G10" s="143" t="s">
        <v>327</v>
      </c>
    </row>
    <row r="11" spans="2:7" ht="15.95" customHeight="1" x14ac:dyDescent="0.2">
      <c r="B11" s="144" t="s">
        <v>328</v>
      </c>
      <c r="C11" s="1046" t="s">
        <v>329</v>
      </c>
      <c r="D11" s="1047"/>
      <c r="E11" s="1048"/>
      <c r="F11" s="145" t="s">
        <v>330</v>
      </c>
      <c r="G11" s="146" t="s">
        <v>331</v>
      </c>
    </row>
    <row r="12" spans="2:7" ht="15.95" customHeight="1" x14ac:dyDescent="0.2">
      <c r="B12" s="147">
        <v>1</v>
      </c>
      <c r="C12" s="1049" t="s">
        <v>332</v>
      </c>
      <c r="D12" s="1050"/>
      <c r="E12" s="1051"/>
      <c r="F12" s="151"/>
      <c r="G12" s="152"/>
    </row>
    <row r="13" spans="2:7" ht="15.95" customHeight="1" x14ac:dyDescent="0.2">
      <c r="B13" s="148"/>
      <c r="C13" s="1052" t="str">
        <f>CONCATENATE("(i) Rent paid to the landlord       :        ",INFO!C90,"  x "," 12 "," = ",'ANNEXURE II'!G8)</f>
        <v>(i) Rent paid to the landlord       :          x  12  = 0</v>
      </c>
      <c r="D13" s="1053"/>
      <c r="E13" s="1054"/>
      <c r="F13" s="153">
        <f>'ANNEXURE II'!G8</f>
        <v>0</v>
      </c>
      <c r="G13" s="154" t="str">
        <f>IF(F13&gt;0,"RECEIPT PRODUCED","")</f>
        <v/>
      </c>
    </row>
    <row r="14" spans="2:7" ht="15.95" customHeight="1" x14ac:dyDescent="0.2">
      <c r="B14" s="148"/>
      <c r="C14" s="1063" t="str">
        <f>CONCATENATE("(ii) Name of the landlord           :       Sri / Smt.  :  ",INFO!K93)</f>
        <v xml:space="preserve">(ii) Name of the landlord           :       Sri / Smt.  :  </v>
      </c>
      <c r="D14" s="1064"/>
      <c r="E14" s="1064"/>
      <c r="F14" s="1065"/>
      <c r="G14" s="154"/>
    </row>
    <row r="15" spans="2:7" ht="15.95" customHeight="1" x14ac:dyDescent="0.2">
      <c r="B15" s="148"/>
      <c r="C15" s="1028" t="s">
        <v>333</v>
      </c>
      <c r="D15" s="1029"/>
      <c r="E15" s="1030"/>
      <c r="F15" s="155"/>
      <c r="G15" s="154"/>
    </row>
    <row r="16" spans="2:7" ht="15.95" customHeight="1" x14ac:dyDescent="0.2">
      <c r="B16" s="149"/>
      <c r="C16" s="1031" t="s">
        <v>334</v>
      </c>
      <c r="D16" s="1032"/>
      <c r="E16" s="1033"/>
      <c r="F16" s="179" t="str">
        <f>IF(INFO!K98=0,"",INFO!K98)</f>
        <v/>
      </c>
      <c r="G16" s="156" t="str">
        <f>IF(F13&gt;=100000,"PAN COPY PRODUCED","")</f>
        <v/>
      </c>
    </row>
    <row r="17" spans="2:7" x14ac:dyDescent="0.2">
      <c r="B17" s="150">
        <v>2</v>
      </c>
      <c r="C17" s="1034" t="s">
        <v>335</v>
      </c>
      <c r="D17" s="1035"/>
      <c r="E17" s="1036"/>
      <c r="F17" s="157"/>
      <c r="G17" s="158"/>
    </row>
    <row r="18" spans="2:7" x14ac:dyDescent="0.2">
      <c r="B18" s="148">
        <v>3</v>
      </c>
      <c r="C18" s="1037" t="s">
        <v>336</v>
      </c>
      <c r="D18" s="1038"/>
      <c r="E18" s="1039"/>
      <c r="F18" s="159"/>
      <c r="G18" s="152"/>
    </row>
    <row r="19" spans="2:7" x14ac:dyDescent="0.2">
      <c r="B19" s="148"/>
      <c r="C19" s="1028" t="s">
        <v>337</v>
      </c>
      <c r="D19" s="1029"/>
      <c r="E19" s="1030"/>
      <c r="F19" s="153">
        <v>0</v>
      </c>
      <c r="G19" s="154"/>
    </row>
    <row r="20" spans="2:7" x14ac:dyDescent="0.2">
      <c r="B20" s="148"/>
      <c r="C20" s="1028" t="s">
        <v>338</v>
      </c>
      <c r="D20" s="1029"/>
      <c r="E20" s="1030"/>
      <c r="F20" s="155"/>
      <c r="G20" s="154"/>
    </row>
    <row r="21" spans="2:7" x14ac:dyDescent="0.2">
      <c r="B21" s="148"/>
      <c r="C21" s="1028" t="s">
        <v>339</v>
      </c>
      <c r="D21" s="1029"/>
      <c r="E21" s="1030"/>
      <c r="F21" s="155"/>
      <c r="G21" s="154"/>
    </row>
    <row r="22" spans="2:7" x14ac:dyDescent="0.2">
      <c r="B22" s="148"/>
      <c r="C22" s="1028" t="s">
        <v>340</v>
      </c>
      <c r="D22" s="1029"/>
      <c r="E22" s="1030"/>
      <c r="F22" s="155"/>
      <c r="G22" s="154"/>
    </row>
    <row r="23" spans="2:7" x14ac:dyDescent="0.2">
      <c r="B23" s="148"/>
      <c r="C23" s="1028" t="s">
        <v>341</v>
      </c>
      <c r="D23" s="1029"/>
      <c r="E23" s="1030"/>
      <c r="F23" s="155"/>
      <c r="G23" s="154"/>
    </row>
    <row r="24" spans="2:7" x14ac:dyDescent="0.2">
      <c r="B24" s="148"/>
      <c r="C24" s="1028" t="s">
        <v>342</v>
      </c>
      <c r="D24" s="1029"/>
      <c r="E24" s="1030"/>
      <c r="F24" s="155"/>
      <c r="G24" s="154"/>
    </row>
    <row r="25" spans="2:7" x14ac:dyDescent="0.2">
      <c r="B25" s="149"/>
      <c r="C25" s="1031" t="s">
        <v>343</v>
      </c>
      <c r="D25" s="1032"/>
      <c r="E25" s="1033"/>
      <c r="F25" s="160"/>
      <c r="G25" s="161"/>
    </row>
    <row r="26" spans="2:7" x14ac:dyDescent="0.2">
      <c r="B26" s="148">
        <v>4</v>
      </c>
      <c r="C26" s="1083" t="s">
        <v>344</v>
      </c>
      <c r="D26" s="1084"/>
      <c r="E26" s="1085"/>
      <c r="F26" s="162"/>
      <c r="G26" s="152"/>
    </row>
    <row r="27" spans="2:7" x14ac:dyDescent="0.2">
      <c r="B27" s="148" t="s">
        <v>366</v>
      </c>
      <c r="C27" s="1028" t="s">
        <v>367</v>
      </c>
      <c r="D27" s="1029"/>
      <c r="E27" s="1030"/>
      <c r="F27" s="163"/>
      <c r="G27" s="154"/>
    </row>
    <row r="28" spans="2:7" x14ac:dyDescent="0.2">
      <c r="B28" s="148"/>
      <c r="C28" s="1056" t="s">
        <v>373</v>
      </c>
      <c r="D28" s="1057"/>
      <c r="E28" s="1058"/>
      <c r="F28" s="163"/>
      <c r="G28" s="154"/>
    </row>
    <row r="29" spans="2:7" x14ac:dyDescent="0.2">
      <c r="B29" s="148"/>
      <c r="C29" s="164" t="s">
        <v>345</v>
      </c>
      <c r="D29" s="539" t="s">
        <v>245</v>
      </c>
      <c r="E29" s="531" t="str">
        <f>'ANNEXURE II'!D31</f>
        <v>ZPPF_GPF_CPS</v>
      </c>
      <c r="F29" s="167">
        <f>'ANNEXURE II'!H31</f>
        <v>0</v>
      </c>
      <c r="G29" s="174" t="str">
        <f>IF(F29&gt;0,"SALARY DEDUCTION","")</f>
        <v/>
      </c>
    </row>
    <row r="30" spans="2:7" x14ac:dyDescent="0.2">
      <c r="B30" s="148"/>
      <c r="C30" s="164" t="s">
        <v>346</v>
      </c>
      <c r="D30" s="539" t="s">
        <v>245</v>
      </c>
      <c r="E30" s="531" t="str">
        <f>'ANNEXURE II'!D32</f>
        <v>APGLI</v>
      </c>
      <c r="F30" s="167">
        <f>'ANNEXURE II'!H32</f>
        <v>0</v>
      </c>
      <c r="G30" s="174" t="str">
        <f t="shared" ref="G30:G31" si="0">IF(F30&gt;0,"SALARY DEDUCTION","")</f>
        <v/>
      </c>
    </row>
    <row r="31" spans="2:7" x14ac:dyDescent="0.2">
      <c r="B31" s="148"/>
      <c r="C31" s="164" t="s">
        <v>347</v>
      </c>
      <c r="D31" s="539" t="s">
        <v>245</v>
      </c>
      <c r="E31" s="531" t="str">
        <f>'ANNEXURE II'!D33</f>
        <v>GIS</v>
      </c>
      <c r="F31" s="167">
        <f>'ANNEXURE II'!H33</f>
        <v>0</v>
      </c>
      <c r="G31" s="174" t="str">
        <f t="shared" si="0"/>
        <v/>
      </c>
    </row>
    <row r="32" spans="2:7" ht="15" customHeight="1" x14ac:dyDescent="0.2">
      <c r="B32" s="148"/>
      <c r="C32" s="164" t="s">
        <v>348</v>
      </c>
      <c r="D32" s="538" t="s">
        <v>246</v>
      </c>
      <c r="E32" s="530" t="str">
        <f>'ANNEXURE II'!D34</f>
        <v>LIC PREMIUMS (BY HAND)</v>
      </c>
      <c r="F32" s="167">
        <f>'ANNEXURE II'!H34</f>
        <v>0</v>
      </c>
      <c r="G32" s="175" t="str">
        <f>IF(F32&gt;0,"RECEIPT PRODUCED","")</f>
        <v/>
      </c>
    </row>
    <row r="33" spans="2:7" x14ac:dyDescent="0.2">
      <c r="B33" s="148"/>
      <c r="C33" s="164" t="s">
        <v>349</v>
      </c>
      <c r="D33" s="539" t="s">
        <v>246</v>
      </c>
      <c r="E33" s="532" t="str">
        <f>'ANNEXURE II'!D35</f>
        <v>POSTAL LIFE INSURANCE (PLI/RPLI)</v>
      </c>
      <c r="F33" s="167">
        <f>'ANNEXURE II'!H35</f>
        <v>0</v>
      </c>
      <c r="G33" s="175" t="str">
        <f t="shared" ref="G33:G40" si="1">IF(F33&gt;0,"RECEIPT PRODUCED","")</f>
        <v/>
      </c>
    </row>
    <row r="34" spans="2:7" x14ac:dyDescent="0.2">
      <c r="B34" s="148"/>
      <c r="C34" s="164" t="s">
        <v>350</v>
      </c>
      <c r="D34" s="539" t="s">
        <v>246</v>
      </c>
      <c r="E34" s="531" t="str">
        <f>'ANNEXURE II'!D36</f>
        <v>SUKANYA SAMRIDHI YOJANA</v>
      </c>
      <c r="F34" s="167">
        <f>'ANNEXURE II'!H36</f>
        <v>0</v>
      </c>
      <c r="G34" s="175" t="str">
        <f t="shared" si="1"/>
        <v/>
      </c>
    </row>
    <row r="35" spans="2:7" x14ac:dyDescent="0.2">
      <c r="B35" s="148"/>
      <c r="C35" s="164" t="s">
        <v>351</v>
      </c>
      <c r="D35" s="539" t="s">
        <v>246</v>
      </c>
      <c r="E35" s="531" t="str">
        <f>'ANNEXURE II'!D37</f>
        <v>SBI LIFE INSURANCE</v>
      </c>
      <c r="F35" s="167">
        <f>'ANNEXURE II'!H37</f>
        <v>0</v>
      </c>
      <c r="G35" s="175" t="str">
        <f t="shared" si="1"/>
        <v/>
      </c>
    </row>
    <row r="36" spans="2:7" x14ac:dyDescent="0.2">
      <c r="B36" s="148"/>
      <c r="C36" s="164" t="s">
        <v>362</v>
      </c>
      <c r="D36" s="539" t="s">
        <v>246</v>
      </c>
      <c r="E36" s="531" t="str">
        <f>'ANNEXURE II'!D38</f>
        <v>PUBLIC PROVIDENT FUND</v>
      </c>
      <c r="F36" s="167">
        <f>'ANNEXURE II'!H38</f>
        <v>0</v>
      </c>
      <c r="G36" s="175" t="str">
        <f t="shared" si="1"/>
        <v/>
      </c>
    </row>
    <row r="37" spans="2:7" x14ac:dyDescent="0.2">
      <c r="B37" s="148"/>
      <c r="C37" s="164" t="s">
        <v>354</v>
      </c>
      <c r="D37" s="539" t="s">
        <v>246</v>
      </c>
      <c r="E37" s="531" t="str">
        <f>'ANNEXURE II'!D39</f>
        <v>TUTION FEE FOR CHILDREN</v>
      </c>
      <c r="F37" s="167">
        <f>'ANNEXURE II'!H39</f>
        <v>0</v>
      </c>
      <c r="G37" s="175" t="str">
        <f t="shared" si="1"/>
        <v/>
      </c>
    </row>
    <row r="38" spans="2:7" x14ac:dyDescent="0.2">
      <c r="B38" s="148"/>
      <c r="C38" s="164" t="s">
        <v>363</v>
      </c>
      <c r="D38" s="539" t="s">
        <v>246</v>
      </c>
      <c r="E38" s="533" t="str">
        <f>'ANNEXURE II'!D40</f>
        <v>PRINCIPLE AMOUNT OF HOME LOAN INSTALLMENTS</v>
      </c>
      <c r="F38" s="167">
        <f>'ANNEXURE II'!H40</f>
        <v>0</v>
      </c>
      <c r="G38" s="175" t="str">
        <f t="shared" si="1"/>
        <v/>
      </c>
    </row>
    <row r="39" spans="2:7" x14ac:dyDescent="0.2">
      <c r="B39" s="148"/>
      <c r="C39" s="164" t="s">
        <v>364</v>
      </c>
      <c r="D39" s="539" t="s">
        <v>370</v>
      </c>
      <c r="E39" s="531"/>
      <c r="F39" s="167">
        <v>0</v>
      </c>
      <c r="G39" s="175" t="str">
        <f t="shared" si="1"/>
        <v/>
      </c>
    </row>
    <row r="40" spans="2:7" x14ac:dyDescent="0.2">
      <c r="B40" s="148"/>
      <c r="C40" s="164" t="s">
        <v>365</v>
      </c>
      <c r="D40" s="539" t="s">
        <v>371</v>
      </c>
      <c r="E40" s="531" t="str">
        <f>'ANNEXURE II'!D26</f>
        <v>Medical Insurance premium u/s 80D</v>
      </c>
      <c r="F40" s="167">
        <f>'ANNEXURE II'!H26</f>
        <v>0</v>
      </c>
      <c r="G40" s="175" t="str">
        <f t="shared" si="1"/>
        <v/>
      </c>
    </row>
    <row r="41" spans="2:7" ht="31.5" customHeight="1" x14ac:dyDescent="0.2">
      <c r="B41" s="148" t="s">
        <v>368</v>
      </c>
      <c r="C41" s="1080" t="s">
        <v>369</v>
      </c>
      <c r="D41" s="1081"/>
      <c r="E41" s="1082"/>
      <c r="F41" s="165"/>
      <c r="G41" s="176"/>
    </row>
    <row r="42" spans="2:7" x14ac:dyDescent="0.2">
      <c r="B42" s="148"/>
      <c r="C42" s="166" t="s">
        <v>354</v>
      </c>
      <c r="D42" s="535" t="s">
        <v>185</v>
      </c>
      <c r="E42" s="172" t="str">
        <f>'ANNEXURE II'!D22</f>
        <v>E.W.F &amp; S.W.F &amp; CMRF U/s 80G</v>
      </c>
      <c r="F42" s="167">
        <f>'ANNEXURE II'!H22</f>
        <v>70</v>
      </c>
      <c r="G42" s="174" t="str">
        <f>IF(F42&gt;0,"SALARY DEDUCTION","")</f>
        <v>SALARY DEDUCTION</v>
      </c>
    </row>
    <row r="43" spans="2:7" x14ac:dyDescent="0.2">
      <c r="B43" s="148"/>
      <c r="C43" s="166" t="s">
        <v>355</v>
      </c>
      <c r="D43" s="535" t="s">
        <v>186</v>
      </c>
      <c r="E43" s="172" t="str">
        <f>'ANNEXURE II'!D23</f>
        <v>Interest of educational loan u/s 24(B)</v>
      </c>
      <c r="F43" s="167">
        <f>'ANNEXURE II'!H23</f>
        <v>0</v>
      </c>
      <c r="G43" s="174" t="str">
        <f t="shared" ref="G43:G46" si="2">IF(F43&gt;0,"RECEIPT PRODUCED","")</f>
        <v/>
      </c>
    </row>
    <row r="44" spans="2:7" x14ac:dyDescent="0.2">
      <c r="B44" s="148"/>
      <c r="C44" s="166" t="s">
        <v>356</v>
      </c>
      <c r="D44" s="535" t="s">
        <v>188</v>
      </c>
      <c r="E44" s="172" t="str">
        <f>'ANNEXURE II'!D24</f>
        <v>Interest of housing loan u/s 80E</v>
      </c>
      <c r="F44" s="167">
        <f>'ANNEXURE II'!H24</f>
        <v>0</v>
      </c>
      <c r="G44" s="174" t="str">
        <f t="shared" si="2"/>
        <v/>
      </c>
    </row>
    <row r="45" spans="2:7" x14ac:dyDescent="0.2">
      <c r="B45" s="148"/>
      <c r="C45" s="166" t="s">
        <v>357</v>
      </c>
      <c r="D45" s="535" t="s">
        <v>187</v>
      </c>
      <c r="E45" s="172" t="str">
        <f>'ANNEXURE II'!D25</f>
        <v>Deductions for Disabled u/s 80U</v>
      </c>
      <c r="F45" s="167">
        <f>'ANNEXURE II'!H25</f>
        <v>0</v>
      </c>
      <c r="G45" s="174" t="str">
        <f>IF(F45&gt;0,"CERTIFICATE PRODUCED","")</f>
        <v/>
      </c>
    </row>
    <row r="46" spans="2:7" x14ac:dyDescent="0.2">
      <c r="B46" s="148"/>
      <c r="C46" s="166" t="s">
        <v>358</v>
      </c>
      <c r="D46" s="535" t="s">
        <v>189</v>
      </c>
      <c r="E46" s="172" t="str">
        <f>'ANNEXURE II'!D26</f>
        <v>Medical Insurance premium u/s 80D</v>
      </c>
      <c r="F46" s="167">
        <f>'ANNEXURE II'!H26</f>
        <v>0</v>
      </c>
      <c r="G46" s="174" t="str">
        <f t="shared" si="2"/>
        <v/>
      </c>
    </row>
    <row r="47" spans="2:7" x14ac:dyDescent="0.2">
      <c r="B47" s="148"/>
      <c r="C47" s="166" t="s">
        <v>359</v>
      </c>
      <c r="D47" s="535" t="s">
        <v>189</v>
      </c>
      <c r="E47" s="172" t="str">
        <f>'ANNEXURE II'!D27</f>
        <v>Employee Health Scheme      (EHS)</v>
      </c>
      <c r="F47" s="167">
        <f>'ANNEXURE II'!H27</f>
        <v>0</v>
      </c>
      <c r="G47" s="174" t="str">
        <f t="shared" ref="G47:G48" si="3">IF(F47&gt;0,"SALARY DEDUCTION","")</f>
        <v/>
      </c>
    </row>
    <row r="48" spans="2:7" x14ac:dyDescent="0.2">
      <c r="B48" s="148"/>
      <c r="C48" s="166" t="s">
        <v>360</v>
      </c>
      <c r="D48" s="536" t="s">
        <v>361</v>
      </c>
      <c r="E48" s="534" t="str">
        <f>'ANNEXURE II'!C42</f>
        <v>National Pension Scheme_U/s 80CCD (1)(B)</v>
      </c>
      <c r="F48" s="167">
        <f>'ANNEXURE II'!I42</f>
        <v>0</v>
      </c>
      <c r="G48" s="174" t="str">
        <f t="shared" si="3"/>
        <v/>
      </c>
    </row>
    <row r="49" spans="2:7" x14ac:dyDescent="0.2">
      <c r="B49" s="149"/>
      <c r="C49" s="168"/>
      <c r="D49" s="537"/>
      <c r="E49" s="169"/>
      <c r="F49" s="160"/>
      <c r="G49" s="161"/>
    </row>
    <row r="50" spans="2:7" ht="20.100000000000001" customHeight="1" x14ac:dyDescent="0.2">
      <c r="B50" s="1068" t="s">
        <v>352</v>
      </c>
      <c r="C50" s="1069"/>
      <c r="D50" s="1069"/>
      <c r="E50" s="1069"/>
      <c r="F50" s="1069"/>
      <c r="G50" s="1070"/>
    </row>
    <row r="51" spans="2:7" ht="50.1" customHeight="1" x14ac:dyDescent="0.2">
      <c r="B51" s="1071" t="str">
        <f>CONCATENATE("   I  ",INFO!B2, " , ","S/O ; D/O ","____________________________", "working as ",UPPER(INFO!B6), "
      do hereby certify that the information given above is complete and correct.")</f>
        <v xml:space="preserve">   I   , S/O ; D/O ____________________________working as 
      do hereby certify that the information given above is complete and correct.</v>
      </c>
      <c r="C51" s="1072"/>
      <c r="D51" s="1072"/>
      <c r="E51" s="1072"/>
      <c r="F51" s="1072"/>
      <c r="G51" s="1073"/>
    </row>
    <row r="52" spans="2:7" ht="24.95" customHeight="1" x14ac:dyDescent="0.2">
      <c r="B52" s="1066" t="s">
        <v>372</v>
      </c>
      <c r="C52" s="1067"/>
      <c r="D52" s="1088">
        <f>INFO!B9</f>
        <v>0</v>
      </c>
      <c r="E52" s="1088"/>
      <c r="F52" s="1074"/>
      <c r="G52" s="1075"/>
    </row>
    <row r="53" spans="2:7" ht="21" customHeight="1" x14ac:dyDescent="0.2">
      <c r="B53" s="1078" t="s">
        <v>375</v>
      </c>
      <c r="C53" s="1079"/>
      <c r="D53" s="1055">
        <f ca="1">TODAY()</f>
        <v>43088</v>
      </c>
      <c r="E53" s="1055"/>
      <c r="F53" s="1076" t="s">
        <v>353</v>
      </c>
      <c r="G53" s="1077"/>
    </row>
    <row r="54" spans="2:7" ht="21" customHeight="1" thickBot="1" x14ac:dyDescent="0.25">
      <c r="B54" s="1086" t="s">
        <v>374</v>
      </c>
      <c r="C54" s="1087"/>
      <c r="D54" s="1059">
        <f>INFO!B6</f>
        <v>0</v>
      </c>
      <c r="E54" s="1059"/>
      <c r="F54" s="1061" t="str">
        <f>CONCATENATE("FULL NAME : ",  INFO!B2)</f>
        <v xml:space="preserve">FULL NAME : </v>
      </c>
      <c r="G54" s="1062"/>
    </row>
    <row r="55" spans="2:7" ht="15.75" thickTop="1" x14ac:dyDescent="0.2">
      <c r="B55" s="1060" t="s">
        <v>68</v>
      </c>
      <c r="C55" s="1060"/>
      <c r="D55" s="1060"/>
      <c r="E55" s="1060"/>
      <c r="F55" s="1060"/>
      <c r="G55" s="1060"/>
    </row>
  </sheetData>
  <sheetProtection algorithmName="SHA-512" hashValue="JjgrraNTplPlA2PNefF/APQN+SLlJJ8trPolmkNbjIS4xFA2rEcLt0H4HrHyUC6GDLg0gmynCY+m7ZYSe94gJw==" saltValue="9Dig5UlGmOHCl7cNshvLGg==" spinCount="100000" sheet="1" objects="1" scenarios="1" selectLockedCells="1" selectUnlockedCells="1"/>
  <mergeCells count="40">
    <mergeCell ref="D54:E54"/>
    <mergeCell ref="B55:G55"/>
    <mergeCell ref="F54:G54"/>
    <mergeCell ref="C14:F14"/>
    <mergeCell ref="B52:C52"/>
    <mergeCell ref="B50:G50"/>
    <mergeCell ref="B51:G51"/>
    <mergeCell ref="F52:G52"/>
    <mergeCell ref="F53:G53"/>
    <mergeCell ref="B53:C53"/>
    <mergeCell ref="C41:E41"/>
    <mergeCell ref="C25:E25"/>
    <mergeCell ref="C26:E26"/>
    <mergeCell ref="C27:E27"/>
    <mergeCell ref="B54:C54"/>
    <mergeCell ref="D52:E52"/>
    <mergeCell ref="D53:E53"/>
    <mergeCell ref="C28:E28"/>
    <mergeCell ref="C19:E19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B9:G9"/>
    <mergeCell ref="C10:E10"/>
    <mergeCell ref="C11:E11"/>
    <mergeCell ref="C12:E12"/>
    <mergeCell ref="C13:E13"/>
    <mergeCell ref="B8:G8"/>
    <mergeCell ref="B2:G2"/>
    <mergeCell ref="B3:G3"/>
    <mergeCell ref="B4:G4"/>
    <mergeCell ref="B5:G5"/>
    <mergeCell ref="B7:G7"/>
    <mergeCell ref="B6:G6"/>
  </mergeCells>
  <printOptions horizontalCentered="1" verticalCentered="1"/>
  <pageMargins left="0.23622047244094491" right="0.27559055118110237" top="0.31496062992125984" bottom="0.31496062992125984" header="0.39370078740157483" footer="0.31496062992125984"/>
  <pageSetup paperSize="9" scale="87" orientation="portrait" r:id="rId1"/>
  <ignoredErrors>
    <ignoredError sqref="B11:G11" numberStoredAsText="1"/>
    <ignoredError sqref="G4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B1:F46"/>
  <sheetViews>
    <sheetView showGridLines="0" showRowColHeaders="0" showWhiteSpace="0" zoomScaleNormal="100" workbookViewId="0" xr3:uid="{9B253EF2-77E0-53E3-AE26-4D66ECD923F3}">
      <pane xSplit="1" ySplit="4" topLeftCell="B6" activePane="bottomRight" state="frozen"/>
      <selection activeCell="V20" sqref="V20:W20"/>
      <selection pane="bottomLeft" activeCell="V20" sqref="V20:W20"/>
      <selection pane="topRight" activeCell="V20" sqref="V20:W20"/>
      <selection pane="bottomRight" activeCell="V20" sqref="V20:W20"/>
    </sheetView>
  </sheetViews>
  <sheetFormatPr defaultColWidth="9.14453125" defaultRowHeight="15" x14ac:dyDescent="0.2"/>
  <cols>
    <col min="1" max="1" width="1.34375" style="6" customWidth="1"/>
    <col min="2" max="2" width="4.70703125" style="6" customWidth="1"/>
    <col min="3" max="3" width="30.265625" style="6" customWidth="1"/>
    <col min="4" max="4" width="10.76171875" style="6" customWidth="1"/>
    <col min="5" max="5" width="36.3203125" style="6" customWidth="1"/>
    <col min="6" max="6" width="6.45703125" style="6" customWidth="1"/>
    <col min="7" max="16384" width="9.14453125" style="6"/>
  </cols>
  <sheetData>
    <row r="1" spans="2:6" ht="5.0999999999999996" customHeight="1" thickBot="1" x14ac:dyDescent="0.25"/>
    <row r="2" spans="2:6" ht="24.75" customHeight="1" thickTop="1" x14ac:dyDescent="0.2">
      <c r="B2" s="114"/>
      <c r="C2" s="115"/>
      <c r="D2" s="115"/>
      <c r="E2" s="115"/>
      <c r="F2" s="116"/>
    </row>
    <row r="3" spans="2:6" ht="35.1" customHeight="1" x14ac:dyDescent="0.2">
      <c r="B3" s="1105" t="s">
        <v>267</v>
      </c>
      <c r="C3" s="1106"/>
      <c r="D3" s="1106"/>
      <c r="E3" s="1106"/>
      <c r="F3" s="1107"/>
    </row>
    <row r="4" spans="2:6" ht="20.100000000000001" customHeight="1" x14ac:dyDescent="0.2">
      <c r="B4" s="1090" t="s">
        <v>268</v>
      </c>
      <c r="C4" s="1091"/>
      <c r="D4" s="1091"/>
      <c r="E4" s="1091"/>
      <c r="F4" s="1092"/>
    </row>
    <row r="5" spans="2:6" ht="24.95" customHeight="1" x14ac:dyDescent="0.2">
      <c r="B5" s="1104"/>
      <c r="C5" s="972"/>
      <c r="D5" s="972"/>
      <c r="E5" s="972"/>
      <c r="F5" s="973"/>
    </row>
    <row r="6" spans="2:6" ht="20.25" customHeight="1" x14ac:dyDescent="0.2">
      <c r="B6" s="1110" t="str">
        <f>CONCATENATE("               Received a sum of ( 12 Month House Rent Amount ) ","
     Rs. ", (12*INFO!C90),
"  ( ",NUM_WORD_RENT!E13," )",
"
    from : Sri. /Smt. :  ",UPPER(INFO!B2),  "
   (Tenant)   towards   the rent   @  Rs. ",INFO!C90, "  per month   ","
   during the  financial year : ", 'ANNEXURE II'!B3," "," in respect of cash / cheque.")</f>
        <v xml:space="preserve">               Received a sum of ( 12 Month House Rent Amount ) 
     Rs. 0  ( Zero )
    from : Sri. /Smt. :  
   (Tenant)   towards   the rent   @  Rs.   per month   
   during the  financial year : 2017-18  in respect of cash / cheque.</v>
      </c>
      <c r="C6" s="1111"/>
      <c r="D6" s="1111"/>
      <c r="E6" s="1111"/>
      <c r="F6" s="1112"/>
    </row>
    <row r="7" spans="2:6" ht="20.100000000000001" customHeight="1" x14ac:dyDescent="0.2">
      <c r="B7" s="1110"/>
      <c r="C7" s="1111"/>
      <c r="D7" s="1111"/>
      <c r="E7" s="1111"/>
      <c r="F7" s="1112"/>
    </row>
    <row r="8" spans="2:6" ht="20.100000000000001" customHeight="1" x14ac:dyDescent="0.2">
      <c r="B8" s="1110"/>
      <c r="C8" s="1111"/>
      <c r="D8" s="1111"/>
      <c r="E8" s="1111"/>
      <c r="F8" s="1112"/>
    </row>
    <row r="9" spans="2:6" ht="19.5" customHeight="1" x14ac:dyDescent="0.2">
      <c r="B9" s="1110"/>
      <c r="C9" s="1111"/>
      <c r="D9" s="1111"/>
      <c r="E9" s="1111"/>
      <c r="F9" s="1112"/>
    </row>
    <row r="10" spans="2:6" ht="15" customHeight="1" x14ac:dyDescent="0.2">
      <c r="B10" s="1110"/>
      <c r="C10" s="1111"/>
      <c r="D10" s="1111"/>
      <c r="E10" s="1111"/>
      <c r="F10" s="1112"/>
    </row>
    <row r="11" spans="2:6" ht="15" customHeight="1" x14ac:dyDescent="0.2">
      <c r="B11" s="1110"/>
      <c r="C11" s="1111"/>
      <c r="D11" s="1111"/>
      <c r="E11" s="1111"/>
      <c r="F11" s="1112"/>
    </row>
    <row r="12" spans="2:6" ht="15" customHeight="1" x14ac:dyDescent="0.2">
      <c r="B12" s="1110"/>
      <c r="C12" s="1111"/>
      <c r="D12" s="1111"/>
      <c r="E12" s="1111"/>
      <c r="F12" s="1112"/>
    </row>
    <row r="13" spans="2:6" ht="15" customHeight="1" x14ac:dyDescent="0.2">
      <c r="B13" s="1110"/>
      <c r="C13" s="1111"/>
      <c r="D13" s="1111"/>
      <c r="E13" s="1111"/>
      <c r="F13" s="1112"/>
    </row>
    <row r="14" spans="2:6" ht="15" customHeight="1" x14ac:dyDescent="0.2">
      <c r="B14" s="1110"/>
      <c r="C14" s="1111"/>
      <c r="D14" s="1111"/>
      <c r="E14" s="1111"/>
      <c r="F14" s="1112"/>
    </row>
    <row r="15" spans="2:6" ht="15" customHeight="1" x14ac:dyDescent="0.2">
      <c r="B15" s="1110"/>
      <c r="C15" s="1111"/>
      <c r="D15" s="1111"/>
      <c r="E15" s="1111"/>
      <c r="F15" s="1112"/>
    </row>
    <row r="16" spans="2:6" ht="15" customHeight="1" x14ac:dyDescent="0.2">
      <c r="B16" s="1110"/>
      <c r="C16" s="1111"/>
      <c r="D16" s="1111"/>
      <c r="E16" s="1111"/>
      <c r="F16" s="1112"/>
    </row>
    <row r="17" spans="2:6" ht="15" customHeight="1" x14ac:dyDescent="0.2">
      <c r="B17" s="1110"/>
      <c r="C17" s="1111"/>
      <c r="D17" s="1111"/>
      <c r="E17" s="1111"/>
      <c r="F17" s="1112"/>
    </row>
    <row r="18" spans="2:6" ht="15" customHeight="1" x14ac:dyDescent="0.2">
      <c r="B18" s="1110"/>
      <c r="C18" s="1111"/>
      <c r="D18" s="1111"/>
      <c r="E18" s="1111"/>
      <c r="F18" s="1112"/>
    </row>
    <row r="19" spans="2:6" ht="15" customHeight="1" x14ac:dyDescent="0.2">
      <c r="B19" s="1110"/>
      <c r="C19" s="1111"/>
      <c r="D19" s="1111"/>
      <c r="E19" s="1111"/>
      <c r="F19" s="1112"/>
    </row>
    <row r="20" spans="2:6" ht="15" customHeight="1" x14ac:dyDescent="0.2">
      <c r="B20" s="108"/>
      <c r="C20" s="119"/>
      <c r="D20" s="119"/>
      <c r="E20" s="119"/>
      <c r="F20" s="110"/>
    </row>
    <row r="21" spans="2:6" ht="15" customHeight="1" x14ac:dyDescent="0.2">
      <c r="B21" s="108"/>
      <c r="C21" s="109"/>
      <c r="D21" s="109"/>
      <c r="E21" s="109"/>
      <c r="F21" s="110"/>
    </row>
    <row r="22" spans="2:6" ht="15" customHeight="1" x14ac:dyDescent="0.2">
      <c r="B22" s="108"/>
      <c r="C22" s="1108" t="s">
        <v>271</v>
      </c>
      <c r="D22" s="1108"/>
      <c r="E22" s="1108" t="str">
        <f>IF(INFO!C90&gt;8333,CONCATENATE("PAN OF OWNER  : ",INFO!K98),"")</f>
        <v/>
      </c>
      <c r="F22" s="1109"/>
    </row>
    <row r="23" spans="2:6" ht="15" customHeight="1" x14ac:dyDescent="0.2">
      <c r="B23" s="108"/>
      <c r="C23" s="1108"/>
      <c r="D23" s="1108"/>
      <c r="E23" s="1108"/>
      <c r="F23" s="1109"/>
    </row>
    <row r="24" spans="2:6" ht="15" customHeight="1" x14ac:dyDescent="0.2">
      <c r="B24" s="108"/>
      <c r="C24" s="1094" t="str">
        <f>UPPER(INFO!B2)</f>
        <v/>
      </c>
      <c r="D24" s="1094"/>
      <c r="E24" s="105"/>
      <c r="F24" s="110"/>
    </row>
    <row r="25" spans="2:6" ht="15" customHeight="1" x14ac:dyDescent="0.2">
      <c r="B25" s="108"/>
      <c r="C25" s="1094" t="str">
        <f>CONCATENATE("D.No.  : ",INFO!K94)</f>
        <v xml:space="preserve">D.No.  : </v>
      </c>
      <c r="D25" s="1094"/>
      <c r="E25" s="109"/>
      <c r="F25" s="110"/>
    </row>
    <row r="26" spans="2:6" ht="15" customHeight="1" x14ac:dyDescent="0.2">
      <c r="B26" s="108"/>
      <c r="C26" s="1094" t="str">
        <f>UPPER(INFO!K95)</f>
        <v/>
      </c>
      <c r="D26" s="1094"/>
      <c r="E26" s="118" t="s">
        <v>272</v>
      </c>
      <c r="F26" s="110"/>
    </row>
    <row r="27" spans="2:6" ht="15" customHeight="1" x14ac:dyDescent="0.2">
      <c r="B27" s="108"/>
      <c r="C27" s="1094" t="str">
        <f>CONCATENATE(UPPER(INFO!K96),"_VILLAGE")</f>
        <v>_VILLAGE</v>
      </c>
      <c r="D27" s="1094"/>
      <c r="E27" s="109"/>
      <c r="F27" s="110"/>
    </row>
    <row r="28" spans="2:6" ht="15" customHeight="1" x14ac:dyDescent="0.2">
      <c r="B28" s="108"/>
      <c r="C28" s="1094" t="str">
        <f>CONCATENATE(UPPER(INFO!K97),"_MANDAL")</f>
        <v>_MANDAL</v>
      </c>
      <c r="D28" s="1094"/>
      <c r="E28" s="105"/>
      <c r="F28" s="110"/>
    </row>
    <row r="29" spans="2:6" ht="15" customHeight="1" x14ac:dyDescent="0.2">
      <c r="B29" s="108"/>
      <c r="C29" s="1094" t="str">
        <f>CONCATENATE(UPPER(INFO!K99),"_DISTRICT")</f>
        <v>_DISTRICT</v>
      </c>
      <c r="D29" s="1094"/>
      <c r="E29" s="109"/>
      <c r="F29" s="110"/>
    </row>
    <row r="30" spans="2:6" ht="15" customHeight="1" x14ac:dyDescent="0.2">
      <c r="B30" s="108"/>
      <c r="E30" s="117"/>
      <c r="F30" s="110"/>
    </row>
    <row r="31" spans="2:6" ht="15" customHeight="1" x14ac:dyDescent="0.2">
      <c r="B31" s="108"/>
      <c r="C31" s="109"/>
      <c r="D31" s="109"/>
      <c r="E31" s="109"/>
      <c r="F31" s="110"/>
    </row>
    <row r="32" spans="2:6" ht="15" customHeight="1" x14ac:dyDescent="0.2">
      <c r="B32" s="108"/>
      <c r="C32" s="109"/>
      <c r="D32" s="109"/>
      <c r="E32" s="109"/>
      <c r="F32" s="110"/>
    </row>
    <row r="33" spans="2:6" ht="15" customHeight="1" x14ac:dyDescent="0.2">
      <c r="B33" s="108"/>
      <c r="C33" s="1101" t="s">
        <v>286</v>
      </c>
      <c r="D33" s="1101"/>
      <c r="E33" s="1101" t="s">
        <v>286</v>
      </c>
      <c r="F33" s="1102"/>
    </row>
    <row r="34" spans="2:6" ht="15" customHeight="1" x14ac:dyDescent="0.2">
      <c r="B34" s="108"/>
      <c r="C34" s="1099" t="s">
        <v>270</v>
      </c>
      <c r="D34" s="1099"/>
      <c r="E34" s="1099" t="s">
        <v>269</v>
      </c>
      <c r="F34" s="1100"/>
    </row>
    <row r="35" spans="2:6" ht="15" customHeight="1" x14ac:dyDescent="0.2">
      <c r="B35" s="108"/>
      <c r="C35" s="117"/>
      <c r="D35" s="109"/>
      <c r="E35" s="117"/>
      <c r="F35" s="110"/>
    </row>
    <row r="36" spans="2:6" ht="15" customHeight="1" x14ac:dyDescent="0.2">
      <c r="B36" s="1095" t="str">
        <f>CONCATENATE("( NAME  :  ",UPPER(INFO!B2)," )")</f>
        <v>( NAME  :   )</v>
      </c>
      <c r="C36" s="1096"/>
      <c r="D36" s="1096"/>
      <c r="E36" s="1097" t="str">
        <f>CONCATENATE("( NAME  :  ",UPPER(INFO!K93)," )")</f>
        <v>( NAME  :   )</v>
      </c>
      <c r="F36" s="1098"/>
    </row>
    <row r="37" spans="2:6" ht="15" customHeight="1" x14ac:dyDescent="0.2">
      <c r="B37" s="1095"/>
      <c r="C37" s="1096"/>
      <c r="D37" s="1096"/>
      <c r="E37" s="1097"/>
      <c r="F37" s="1098"/>
    </row>
    <row r="38" spans="2:6" ht="15" customHeight="1" x14ac:dyDescent="0.2">
      <c r="B38" s="120"/>
      <c r="C38" s="121"/>
      <c r="D38" s="121"/>
      <c r="E38" s="122"/>
      <c r="F38" s="123"/>
    </row>
    <row r="39" spans="2:6" ht="15" customHeight="1" x14ac:dyDescent="0.2">
      <c r="B39" s="120"/>
      <c r="C39" s="121"/>
      <c r="D39" s="121"/>
      <c r="E39" s="122"/>
      <c r="F39" s="123"/>
    </row>
    <row r="40" spans="2:6" ht="15" customHeight="1" x14ac:dyDescent="0.2">
      <c r="B40" s="108"/>
      <c r="C40" s="117"/>
      <c r="D40" s="109"/>
      <c r="E40" s="117"/>
      <c r="F40" s="110"/>
    </row>
    <row r="41" spans="2:6" ht="15" customHeight="1" x14ac:dyDescent="0.2">
      <c r="B41" s="108"/>
      <c r="C41" s="1103" t="s">
        <v>287</v>
      </c>
      <c r="D41" s="1099"/>
      <c r="E41" s="1099"/>
      <c r="F41" s="110"/>
    </row>
    <row r="42" spans="2:6" ht="15" customHeight="1" x14ac:dyDescent="0.2">
      <c r="B42" s="108"/>
      <c r="C42" s="1089" t="str">
        <f>IF(AND(INFO!C90&lt;=3000),("YOU NEED NOT SUBMIT RENT RECEIPT FOR THIS RENT"),
  IF(AND(INFO!C90&gt;3000,INFO!C90&lt;=8333),("YOU SHOULD SUBMIT RENT RECEIPT WITHOUT PAN OF HOUSE OWNER"),
  IF(AND(INFO!C90&gt;8333),("YOU SHOULD SUBMIT RENT RECEIPT WITH PAN OF HOUSE OWNER"))))</f>
        <v>YOU NEED NOT SUBMIT RENT RECEIPT FOR THIS RENT</v>
      </c>
      <c r="D42" s="1089"/>
      <c r="E42" s="1089"/>
      <c r="F42" s="110"/>
    </row>
    <row r="43" spans="2:6" ht="15" customHeight="1" x14ac:dyDescent="0.2">
      <c r="B43" s="108"/>
      <c r="C43" s="109"/>
      <c r="D43" s="109"/>
      <c r="E43" s="109"/>
      <c r="F43" s="110"/>
    </row>
    <row r="44" spans="2:6" ht="15" customHeight="1" x14ac:dyDescent="0.2">
      <c r="B44" s="108"/>
      <c r="C44" s="109"/>
      <c r="D44" s="109"/>
      <c r="E44" s="109"/>
      <c r="F44" s="110"/>
    </row>
    <row r="45" spans="2:6" ht="16.5" customHeight="1" thickBot="1" x14ac:dyDescent="0.25">
      <c r="B45" s="111"/>
      <c r="C45" s="112"/>
      <c r="D45" s="112"/>
      <c r="E45" s="112"/>
      <c r="F45" s="113"/>
    </row>
    <row r="46" spans="2:6" ht="15.75" thickTop="1" x14ac:dyDescent="0.2">
      <c r="B46" s="1093" t="s">
        <v>220</v>
      </c>
      <c r="C46" s="1093"/>
      <c r="D46" s="1093"/>
      <c r="E46" s="1093"/>
      <c r="F46" s="1093"/>
    </row>
  </sheetData>
  <sheetProtection password="C6B1" sheet="1" objects="1" scenarios="1" selectLockedCells="1" selectUnlockedCells="1"/>
  <mergeCells count="21">
    <mergeCell ref="B3:F3"/>
    <mergeCell ref="C24:D24"/>
    <mergeCell ref="C25:D25"/>
    <mergeCell ref="C26:D26"/>
    <mergeCell ref="C27:D27"/>
    <mergeCell ref="C22:D23"/>
    <mergeCell ref="E22:F23"/>
    <mergeCell ref="B6:F19"/>
    <mergeCell ref="C42:E42"/>
    <mergeCell ref="B4:F4"/>
    <mergeCell ref="B46:F46"/>
    <mergeCell ref="C28:D28"/>
    <mergeCell ref="C29:D29"/>
    <mergeCell ref="B36:D37"/>
    <mergeCell ref="E36:F37"/>
    <mergeCell ref="C34:D34"/>
    <mergeCell ref="E34:F34"/>
    <mergeCell ref="C33:D33"/>
    <mergeCell ref="E33:F33"/>
    <mergeCell ref="C41:E41"/>
    <mergeCell ref="B5:F5"/>
  </mergeCells>
  <printOptions horizontalCentered="1" verticalCentered="1"/>
  <pageMargins left="0.23622047244094491" right="0.27559055118110237" top="0.31496062992125984" bottom="0.74803149606299213" header="0.19685039370078741" footer="0.23622047244094491"/>
  <pageSetup paperSize="9" scale="98" orientation="portrait" r:id="rId1"/>
  <headerFooter>
    <oddFooter>&amp;CScience and Technology ,revolutionize our lives ,but
memory , tradition and myth frame our responce.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7030A0"/>
  </sheetPr>
  <dimension ref="B1:AIU100"/>
  <sheetViews>
    <sheetView showGridLines="0" showRowColHeaders="0" zoomScaleNormal="100" zoomScalePageLayoutView="60" workbookViewId="0" xr3:uid="{85D5C41F-068E-5C55-9968-509E7C2A5619}">
      <selection activeCell="E2" sqref="E2"/>
    </sheetView>
  </sheetViews>
  <sheetFormatPr defaultColWidth="59.32421875" defaultRowHeight="12.75" x14ac:dyDescent="0.15"/>
  <cols>
    <col min="1" max="1" width="2.5546875" style="432" customWidth="1"/>
    <col min="2" max="2" width="6.05078125" style="432" hidden="1" customWidth="1"/>
    <col min="3" max="3" width="15.73828125" style="432" hidden="1" customWidth="1"/>
    <col min="4" max="4" width="15.73828125" style="410" hidden="1" customWidth="1"/>
    <col min="5" max="8" width="13.71875" style="410" customWidth="1"/>
    <col min="9" max="931" width="6.72265625" style="410" customWidth="1"/>
    <col min="932" max="1023" width="6.72265625" style="432" customWidth="1"/>
    <col min="1024" max="16384" width="59.32421875" style="432"/>
  </cols>
  <sheetData>
    <row r="1" spans="2:68" ht="15" customHeight="1" x14ac:dyDescent="0.2">
      <c r="B1" s="406">
        <v>1</v>
      </c>
      <c r="C1" s="407" t="s">
        <v>413</v>
      </c>
      <c r="D1" s="408" t="s">
        <v>512</v>
      </c>
      <c r="E1" s="409"/>
      <c r="F1" s="409"/>
      <c r="G1" s="409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</row>
    <row r="2" spans="2:68" ht="15" customHeight="1" x14ac:dyDescent="0.2">
      <c r="B2" s="413">
        <v>2</v>
      </c>
      <c r="C2" s="414" t="s">
        <v>414</v>
      </c>
      <c r="D2" s="415" t="s">
        <v>513</v>
      </c>
      <c r="E2" s="416">
        <f>ROUND(12*INFO!C90,0)</f>
        <v>0</v>
      </c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2"/>
    </row>
    <row r="3" spans="2:68" ht="15" customHeight="1" x14ac:dyDescent="0.2">
      <c r="B3" s="413">
        <v>3</v>
      </c>
      <c r="C3" s="414" t="s">
        <v>415</v>
      </c>
      <c r="D3" s="415" t="s">
        <v>514</v>
      </c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412"/>
      <c r="BO3" s="412"/>
      <c r="BP3" s="412"/>
    </row>
    <row r="4" spans="2:68" ht="15" customHeight="1" x14ac:dyDescent="0.2">
      <c r="B4" s="413">
        <v>4</v>
      </c>
      <c r="C4" s="414" t="s">
        <v>416</v>
      </c>
      <c r="D4" s="415" t="s">
        <v>515</v>
      </c>
      <c r="E4" s="417"/>
      <c r="F4" s="417"/>
      <c r="G4" s="417"/>
      <c r="H4" s="418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P4" s="412"/>
      <c r="AQ4" s="412"/>
      <c r="AR4" s="412"/>
      <c r="AS4" s="412"/>
      <c r="AT4" s="412"/>
      <c r="AU4" s="412"/>
      <c r="AV4" s="412"/>
      <c r="AW4" s="412"/>
      <c r="AX4" s="412"/>
      <c r="AY4" s="412"/>
      <c r="AZ4" s="412"/>
      <c r="BA4" s="412"/>
      <c r="BB4" s="412"/>
      <c r="BC4" s="412"/>
      <c r="BD4" s="412"/>
      <c r="BE4" s="412"/>
      <c r="BF4" s="412"/>
      <c r="BG4" s="412"/>
      <c r="BH4" s="412"/>
      <c r="BI4" s="412"/>
      <c r="BJ4" s="412"/>
      <c r="BK4" s="412"/>
      <c r="BL4" s="412"/>
      <c r="BM4" s="412"/>
      <c r="BN4" s="412"/>
      <c r="BO4" s="412"/>
      <c r="BP4" s="412"/>
    </row>
    <row r="5" spans="2:68" ht="15" customHeight="1" x14ac:dyDescent="0.2">
      <c r="B5" s="413">
        <v>5</v>
      </c>
      <c r="C5" s="414" t="s">
        <v>417</v>
      </c>
      <c r="D5" s="415" t="s">
        <v>516</v>
      </c>
      <c r="H5" s="418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412"/>
    </row>
    <row r="6" spans="2:68" ht="15" customHeight="1" x14ac:dyDescent="0.2">
      <c r="B6" s="413">
        <v>6</v>
      </c>
      <c r="C6" s="414" t="s">
        <v>418</v>
      </c>
      <c r="D6" s="415" t="s">
        <v>517</v>
      </c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412"/>
    </row>
    <row r="7" spans="2:68" ht="15" customHeight="1" x14ac:dyDescent="0.2">
      <c r="B7" s="413">
        <v>7</v>
      </c>
      <c r="C7" s="414" t="s">
        <v>419</v>
      </c>
      <c r="D7" s="415" t="s">
        <v>518</v>
      </c>
      <c r="E7" s="419">
        <f>INT(E2/100000)</f>
        <v>0</v>
      </c>
      <c r="F7" s="419">
        <f>INT(E2/1000-E7*100)</f>
        <v>0</v>
      </c>
      <c r="G7" s="419">
        <f>INT(E2/100-E7*1000-F7*10)</f>
        <v>0</v>
      </c>
      <c r="H7" s="419">
        <f>INT(E2-E7*100000-F7*1000-G7*100)</f>
        <v>0</v>
      </c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P7" s="412"/>
      <c r="AQ7" s="412"/>
      <c r="AR7" s="412"/>
      <c r="AS7" s="412"/>
      <c r="AT7" s="412"/>
      <c r="AU7" s="412"/>
      <c r="AV7" s="412"/>
      <c r="AW7" s="412"/>
      <c r="AX7" s="412"/>
      <c r="AY7" s="412"/>
      <c r="AZ7" s="412"/>
      <c r="BA7" s="412"/>
      <c r="BB7" s="412"/>
      <c r="BC7" s="412"/>
      <c r="BD7" s="412"/>
      <c r="BE7" s="412"/>
      <c r="BF7" s="412"/>
      <c r="BG7" s="412"/>
      <c r="BH7" s="412"/>
      <c r="BI7" s="412"/>
      <c r="BJ7" s="412"/>
      <c r="BK7" s="412"/>
      <c r="BL7" s="412"/>
      <c r="BM7" s="412"/>
      <c r="BN7" s="412"/>
      <c r="BO7" s="412"/>
      <c r="BP7" s="412"/>
    </row>
    <row r="8" spans="2:68" ht="15" customHeight="1" x14ac:dyDescent="0.2">
      <c r="B8" s="413">
        <v>8</v>
      </c>
      <c r="C8" s="414" t="s">
        <v>420</v>
      </c>
      <c r="D8" s="415" t="s">
        <v>519</v>
      </c>
      <c r="E8" s="419">
        <f>IF(AND(G7=0,H7=0),1,2)</f>
        <v>1</v>
      </c>
      <c r="F8" s="419">
        <f>IF(H7=0,3,4)</f>
        <v>3</v>
      </c>
      <c r="G8" s="419">
        <f>IF(OR(E8=1,F8=3),5,6)</f>
        <v>5</v>
      </c>
      <c r="H8" s="420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</row>
    <row r="9" spans="2:68" ht="15" customHeight="1" x14ac:dyDescent="0.2">
      <c r="B9" s="413">
        <v>9</v>
      </c>
      <c r="C9" s="414" t="s">
        <v>421</v>
      </c>
      <c r="D9" s="415" t="s">
        <v>520</v>
      </c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2"/>
      <c r="BK9" s="412"/>
      <c r="BL9" s="412"/>
      <c r="BM9" s="412"/>
      <c r="BN9" s="412"/>
      <c r="BO9" s="412"/>
      <c r="BP9" s="412"/>
    </row>
    <row r="10" spans="2:68" ht="15" customHeight="1" x14ac:dyDescent="0.2">
      <c r="B10" s="413">
        <v>10</v>
      </c>
      <c r="C10" s="414" t="s">
        <v>422</v>
      </c>
      <c r="D10" s="415" t="s">
        <v>521</v>
      </c>
      <c r="E10" s="421" t="str">
        <f>IF(E7=0,"",LOOKUP(E7,B1:B99,C1:C99))</f>
        <v/>
      </c>
      <c r="F10" s="421" t="str">
        <f>IF(F7=0,"",LOOKUP(F7,B1:B99,C1:C99))</f>
        <v/>
      </c>
      <c r="G10" s="421" t="str">
        <f>IF(G7=0,"",LOOKUP(G7,B1:B99,C1:C99))</f>
        <v/>
      </c>
      <c r="H10" s="421" t="str">
        <f>IF(H7=0,"",LOOKUP(H7,B1:B99,C1:C99))</f>
        <v/>
      </c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</row>
    <row r="11" spans="2:68" ht="15" customHeight="1" x14ac:dyDescent="0.2">
      <c r="B11" s="413">
        <v>11</v>
      </c>
      <c r="C11" s="414" t="s">
        <v>423</v>
      </c>
      <c r="D11" s="415" t="s">
        <v>522</v>
      </c>
      <c r="E11" s="421" t="str">
        <f>IF(E7&gt;1," Lakhs ",IF(E7&gt;0," Lakh ",""))</f>
        <v/>
      </c>
      <c r="F11" s="421" t="str">
        <f>IF(F7&gt;0," Thousand ","")</f>
        <v/>
      </c>
      <c r="G11" s="421" t="str">
        <f>IF(G7&gt;0," Hundred ","")</f>
        <v/>
      </c>
      <c r="H11" s="422" t="str">
        <f>IF(E2="","",IF(E2=1,"Rupee",IF(E2&gt;1,"Rupees","")))</f>
        <v/>
      </c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2"/>
      <c r="BE11" s="412"/>
      <c r="BF11" s="412"/>
      <c r="BG11" s="412"/>
      <c r="BH11" s="412"/>
      <c r="BI11" s="412"/>
      <c r="BJ11" s="412"/>
      <c r="BK11" s="412"/>
      <c r="BL11" s="412"/>
      <c r="BM11" s="412"/>
      <c r="BN11" s="412"/>
      <c r="BO11" s="412"/>
      <c r="BP11" s="412"/>
    </row>
    <row r="12" spans="2:68" ht="15" customHeight="1" x14ac:dyDescent="0.2">
      <c r="B12" s="413">
        <v>12</v>
      </c>
      <c r="C12" s="414" t="s">
        <v>424</v>
      </c>
      <c r="D12" s="415" t="s">
        <v>523</v>
      </c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2"/>
      <c r="AV12" s="412"/>
      <c r="AW12" s="412"/>
      <c r="AX12" s="412"/>
      <c r="AY12" s="412"/>
      <c r="AZ12" s="412"/>
      <c r="BA12" s="412"/>
      <c r="BB12" s="412"/>
      <c r="BC12" s="412"/>
      <c r="BD12" s="412"/>
      <c r="BE12" s="412"/>
      <c r="BF12" s="412"/>
      <c r="BG12" s="412"/>
      <c r="BH12" s="412"/>
      <c r="BI12" s="412"/>
      <c r="BJ12" s="412"/>
      <c r="BK12" s="412"/>
      <c r="BL12" s="412"/>
      <c r="BM12" s="412"/>
      <c r="BN12" s="412"/>
      <c r="BO12" s="412"/>
      <c r="BP12" s="412"/>
    </row>
    <row r="13" spans="2:68" ht="15" customHeight="1" x14ac:dyDescent="0.2">
      <c r="B13" s="413">
        <v>13</v>
      </c>
      <c r="C13" s="414" t="s">
        <v>425</v>
      </c>
      <c r="D13" s="414" t="s">
        <v>524</v>
      </c>
      <c r="E13" s="1113" t="str">
        <f>IF(E2=0,"Zero",IF(E2&gt;0,TRIM(CONCATENATE(E10,E11,F10,F11,G10,G11,IF(AND(E2&gt;100,G8=6)," and ",""),H10,"  ",H11)),""))</f>
        <v>Zero</v>
      </c>
      <c r="F13" s="1114"/>
      <c r="G13" s="1114"/>
      <c r="H13" s="1115"/>
      <c r="I13" s="423"/>
      <c r="J13" s="423"/>
      <c r="K13" s="423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412"/>
      <c r="BE13" s="412"/>
      <c r="BF13" s="412"/>
      <c r="BG13" s="412"/>
      <c r="BH13" s="412"/>
      <c r="BI13" s="412"/>
      <c r="BJ13" s="412"/>
      <c r="BK13" s="412"/>
      <c r="BL13" s="412"/>
      <c r="BM13" s="412"/>
      <c r="BN13" s="412"/>
      <c r="BO13" s="412"/>
      <c r="BP13" s="412"/>
    </row>
    <row r="14" spans="2:68" ht="15" customHeight="1" x14ac:dyDescent="0.2">
      <c r="B14" s="413">
        <v>14</v>
      </c>
      <c r="C14" s="414" t="s">
        <v>426</v>
      </c>
      <c r="D14" s="414" t="s">
        <v>525</v>
      </c>
      <c r="E14" s="1116"/>
      <c r="F14" s="1117"/>
      <c r="G14" s="1117"/>
      <c r="H14" s="1118"/>
      <c r="I14" s="424"/>
      <c r="J14" s="424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2"/>
      <c r="BE14" s="412"/>
      <c r="BF14" s="412"/>
      <c r="BG14" s="412"/>
      <c r="BH14" s="412"/>
      <c r="BI14" s="412"/>
      <c r="BJ14" s="412"/>
      <c r="BK14" s="412"/>
      <c r="BL14" s="412"/>
      <c r="BM14" s="412"/>
      <c r="BN14" s="412"/>
      <c r="BO14" s="412"/>
      <c r="BP14" s="412"/>
    </row>
    <row r="15" spans="2:68" ht="15" customHeight="1" x14ac:dyDescent="0.2">
      <c r="B15" s="413">
        <v>15</v>
      </c>
      <c r="C15" s="414" t="s">
        <v>427</v>
      </c>
      <c r="D15" s="414" t="s">
        <v>526</v>
      </c>
      <c r="E15" s="423"/>
      <c r="F15" s="423"/>
      <c r="G15" s="423"/>
      <c r="H15" s="423"/>
      <c r="I15" s="423"/>
      <c r="J15" s="423"/>
      <c r="K15" s="423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</row>
    <row r="16" spans="2:68" ht="15" customHeight="1" x14ac:dyDescent="0.2">
      <c r="B16" s="413">
        <v>16</v>
      </c>
      <c r="C16" s="414" t="s">
        <v>428</v>
      </c>
      <c r="D16" s="415" t="s">
        <v>527</v>
      </c>
      <c r="E16" s="425" t="str">
        <f>IF(E7=0,"",LOOKUP(E7,B1:B99,D1:D99))</f>
        <v/>
      </c>
      <c r="F16" s="425" t="str">
        <f>IF(F7=0,"",LOOKUP(F7,B1:B99,D1:D99))</f>
        <v/>
      </c>
      <c r="G16" s="425" t="str">
        <f>IF(G7=0,"",LOOKUP(G7,B1:B99,D1:D99))</f>
        <v/>
      </c>
      <c r="H16" s="426" t="str">
        <f>IF(H7=0,"",LOOKUP(H7,B1:B99,D1:D99))</f>
        <v/>
      </c>
      <c r="I16" s="424"/>
      <c r="J16" s="424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12"/>
      <c r="BG16" s="412"/>
      <c r="BH16" s="412"/>
      <c r="BI16" s="412"/>
      <c r="BJ16" s="412"/>
      <c r="BK16" s="412"/>
      <c r="BL16" s="412"/>
      <c r="BM16" s="412"/>
      <c r="BN16" s="412"/>
      <c r="BO16" s="412"/>
      <c r="BP16" s="412"/>
    </row>
    <row r="17" spans="2:11" ht="15" customHeight="1" x14ac:dyDescent="0.2">
      <c r="B17" s="413">
        <v>17</v>
      </c>
      <c r="C17" s="414" t="s">
        <v>429</v>
      </c>
      <c r="D17" s="415" t="s">
        <v>528</v>
      </c>
      <c r="E17" s="425" t="str">
        <f>IF(E7&gt;1," లక్షల ",IF(E7&gt;0," లక్ష ",""))</f>
        <v/>
      </c>
      <c r="F17" s="425" t="str">
        <f>IF(F7=1," వెయ్యి ",IF(F7&gt;0," వేల ",""))</f>
        <v/>
      </c>
      <c r="G17" s="425" t="str">
        <f>IF(G7=1," వంద",IF(G7&gt;0," వందల ",""))</f>
        <v/>
      </c>
      <c r="H17" s="425" t="str">
        <f>IF(E2="","",IF(E2=1,"రూపాయి",IF(E2&gt;1,"రూపాయలు","")))</f>
        <v/>
      </c>
      <c r="I17" s="427"/>
      <c r="J17" s="427"/>
    </row>
    <row r="18" spans="2:11" ht="15" customHeight="1" x14ac:dyDescent="0.2">
      <c r="B18" s="413">
        <v>18</v>
      </c>
      <c r="C18" s="414" t="s">
        <v>430</v>
      </c>
      <c r="D18" s="415" t="s">
        <v>529</v>
      </c>
      <c r="E18" s="428"/>
      <c r="F18" s="428"/>
      <c r="G18" s="428"/>
      <c r="H18" s="428"/>
      <c r="I18" s="427"/>
      <c r="J18" s="427"/>
    </row>
    <row r="19" spans="2:11" ht="15" customHeight="1" x14ac:dyDescent="0.2">
      <c r="B19" s="413">
        <v>19</v>
      </c>
      <c r="C19" s="414" t="s">
        <v>431</v>
      </c>
      <c r="D19" s="414" t="s">
        <v>530</v>
      </c>
      <c r="E19" s="1119" t="str">
        <f>IF(E2=0,"శూన్యం",IF(E2&gt;0,TRIM(CONCATENATE(E16,E17,F16,F17,G16,G17,IF(AND(E2&gt;100,G6=6)," ",""),H16,"  ",H17)),""))</f>
        <v>శూన్యం</v>
      </c>
      <c r="F19" s="1120"/>
      <c r="G19" s="1120"/>
      <c r="H19" s="1121"/>
      <c r="I19" s="427"/>
      <c r="J19" s="427"/>
    </row>
    <row r="20" spans="2:11" ht="15" customHeight="1" x14ac:dyDescent="0.2">
      <c r="B20" s="413">
        <v>20</v>
      </c>
      <c r="C20" s="415" t="s">
        <v>432</v>
      </c>
      <c r="D20" s="414" t="s">
        <v>531</v>
      </c>
      <c r="E20" s="1122"/>
      <c r="F20" s="1123"/>
      <c r="G20" s="1123"/>
      <c r="H20" s="1124"/>
    </row>
    <row r="21" spans="2:11" ht="15" customHeight="1" x14ac:dyDescent="0.2">
      <c r="B21" s="413">
        <v>21</v>
      </c>
      <c r="C21" s="415" t="s">
        <v>433</v>
      </c>
      <c r="D21" s="414" t="s">
        <v>532</v>
      </c>
      <c r="E21" s="1125"/>
      <c r="F21" s="1126"/>
      <c r="G21" s="1126"/>
      <c r="H21" s="1127"/>
    </row>
    <row r="22" spans="2:11" ht="15" customHeight="1" x14ac:dyDescent="0.2">
      <c r="B22" s="413">
        <v>22</v>
      </c>
      <c r="C22" s="415" t="s">
        <v>434</v>
      </c>
      <c r="D22" s="414" t="s">
        <v>533</v>
      </c>
      <c r="I22" s="429"/>
      <c r="J22" s="429"/>
      <c r="K22" s="429"/>
    </row>
    <row r="23" spans="2:11" ht="15" customHeight="1" x14ac:dyDescent="0.2">
      <c r="B23" s="413">
        <v>23</v>
      </c>
      <c r="C23" s="415" t="s">
        <v>435</v>
      </c>
      <c r="D23" s="414" t="s">
        <v>534</v>
      </c>
      <c r="I23" s="429"/>
      <c r="J23" s="429"/>
      <c r="K23" s="429"/>
    </row>
    <row r="24" spans="2:11" ht="15" customHeight="1" x14ac:dyDescent="0.2">
      <c r="B24" s="413">
        <v>24</v>
      </c>
      <c r="C24" s="415" t="s">
        <v>436</v>
      </c>
      <c r="D24" s="415" t="s">
        <v>535</v>
      </c>
    </row>
    <row r="25" spans="2:11" ht="15" customHeight="1" x14ac:dyDescent="0.2">
      <c r="B25" s="413">
        <v>25</v>
      </c>
      <c r="C25" s="415" t="s">
        <v>437</v>
      </c>
      <c r="D25" s="415" t="s">
        <v>536</v>
      </c>
    </row>
    <row r="26" spans="2:11" ht="15" customHeight="1" x14ac:dyDescent="0.2">
      <c r="B26" s="413">
        <v>26</v>
      </c>
      <c r="C26" s="415" t="s">
        <v>438</v>
      </c>
      <c r="D26" s="415" t="s">
        <v>537</v>
      </c>
    </row>
    <row r="27" spans="2:11" ht="15" customHeight="1" x14ac:dyDescent="0.2">
      <c r="B27" s="413">
        <v>27</v>
      </c>
      <c r="C27" s="415" t="s">
        <v>439</v>
      </c>
      <c r="D27" s="415" t="s">
        <v>538</v>
      </c>
    </row>
    <row r="28" spans="2:11" ht="15" customHeight="1" x14ac:dyDescent="0.2">
      <c r="B28" s="413">
        <v>28</v>
      </c>
      <c r="C28" s="415" t="s">
        <v>440</v>
      </c>
      <c r="D28" s="415" t="s">
        <v>539</v>
      </c>
    </row>
    <row r="29" spans="2:11" ht="15" customHeight="1" x14ac:dyDescent="0.2">
      <c r="B29" s="413">
        <v>29</v>
      </c>
      <c r="C29" s="415" t="s">
        <v>441</v>
      </c>
      <c r="D29" s="415" t="s">
        <v>540</v>
      </c>
    </row>
    <row r="30" spans="2:11" ht="15" customHeight="1" x14ac:dyDescent="0.2">
      <c r="B30" s="413">
        <v>30</v>
      </c>
      <c r="C30" s="415" t="s">
        <v>442</v>
      </c>
      <c r="D30" s="415" t="s">
        <v>541</v>
      </c>
    </row>
    <row r="31" spans="2:11" ht="15" customHeight="1" x14ac:dyDescent="0.2">
      <c r="B31" s="413">
        <v>31</v>
      </c>
      <c r="C31" s="415" t="s">
        <v>443</v>
      </c>
      <c r="D31" s="415" t="s">
        <v>542</v>
      </c>
    </row>
    <row r="32" spans="2:11" ht="15" customHeight="1" x14ac:dyDescent="0.2">
      <c r="B32" s="413">
        <v>32</v>
      </c>
      <c r="C32" s="415" t="s">
        <v>444</v>
      </c>
      <c r="D32" s="415" t="s">
        <v>543</v>
      </c>
    </row>
    <row r="33" spans="2:4" ht="15" customHeight="1" x14ac:dyDescent="0.2">
      <c r="B33" s="413">
        <v>33</v>
      </c>
      <c r="C33" s="415" t="s">
        <v>445</v>
      </c>
      <c r="D33" s="415" t="s">
        <v>544</v>
      </c>
    </row>
    <row r="34" spans="2:4" ht="15" customHeight="1" x14ac:dyDescent="0.2">
      <c r="B34" s="413">
        <v>34</v>
      </c>
      <c r="C34" s="415" t="s">
        <v>446</v>
      </c>
      <c r="D34" s="415" t="s">
        <v>545</v>
      </c>
    </row>
    <row r="35" spans="2:4" ht="15" customHeight="1" x14ac:dyDescent="0.2">
      <c r="B35" s="413">
        <v>35</v>
      </c>
      <c r="C35" s="415" t="s">
        <v>447</v>
      </c>
      <c r="D35" s="415" t="s">
        <v>546</v>
      </c>
    </row>
    <row r="36" spans="2:4" ht="15" customHeight="1" x14ac:dyDescent="0.2">
      <c r="B36" s="413">
        <v>36</v>
      </c>
      <c r="C36" s="415" t="s">
        <v>448</v>
      </c>
      <c r="D36" s="415" t="s">
        <v>547</v>
      </c>
    </row>
    <row r="37" spans="2:4" ht="15" customHeight="1" x14ac:dyDescent="0.2">
      <c r="B37" s="413">
        <v>37</v>
      </c>
      <c r="C37" s="415" t="s">
        <v>449</v>
      </c>
      <c r="D37" s="415" t="s">
        <v>548</v>
      </c>
    </row>
    <row r="38" spans="2:4" ht="15" customHeight="1" x14ac:dyDescent="0.2">
      <c r="B38" s="413">
        <v>38</v>
      </c>
      <c r="C38" s="415" t="s">
        <v>450</v>
      </c>
      <c r="D38" s="415" t="s">
        <v>549</v>
      </c>
    </row>
    <row r="39" spans="2:4" ht="15" customHeight="1" x14ac:dyDescent="0.2">
      <c r="B39" s="413">
        <v>39</v>
      </c>
      <c r="C39" s="415" t="s">
        <v>451</v>
      </c>
      <c r="D39" s="415" t="s">
        <v>550</v>
      </c>
    </row>
    <row r="40" spans="2:4" ht="15" customHeight="1" x14ac:dyDescent="0.2">
      <c r="B40" s="413">
        <v>40</v>
      </c>
      <c r="C40" s="415" t="s">
        <v>452</v>
      </c>
      <c r="D40" s="415" t="s">
        <v>551</v>
      </c>
    </row>
    <row r="41" spans="2:4" ht="15" customHeight="1" x14ac:dyDescent="0.2">
      <c r="B41" s="413">
        <v>41</v>
      </c>
      <c r="C41" s="415" t="s">
        <v>453</v>
      </c>
      <c r="D41" s="415" t="s">
        <v>552</v>
      </c>
    </row>
    <row r="42" spans="2:4" ht="15" customHeight="1" x14ac:dyDescent="0.2">
      <c r="B42" s="413">
        <v>42</v>
      </c>
      <c r="C42" s="415" t="s">
        <v>454</v>
      </c>
      <c r="D42" s="415" t="s">
        <v>553</v>
      </c>
    </row>
    <row r="43" spans="2:4" ht="15" customHeight="1" x14ac:dyDescent="0.2">
      <c r="B43" s="413">
        <v>43</v>
      </c>
      <c r="C43" s="415" t="s">
        <v>455</v>
      </c>
      <c r="D43" s="415" t="s">
        <v>554</v>
      </c>
    </row>
    <row r="44" spans="2:4" ht="15" customHeight="1" x14ac:dyDescent="0.2">
      <c r="B44" s="413">
        <v>44</v>
      </c>
      <c r="C44" s="415" t="s">
        <v>456</v>
      </c>
      <c r="D44" s="415" t="s">
        <v>555</v>
      </c>
    </row>
    <row r="45" spans="2:4" ht="15" customHeight="1" x14ac:dyDescent="0.2">
      <c r="B45" s="413">
        <v>45</v>
      </c>
      <c r="C45" s="415" t="s">
        <v>457</v>
      </c>
      <c r="D45" s="415" t="s">
        <v>556</v>
      </c>
    </row>
    <row r="46" spans="2:4" ht="15" customHeight="1" x14ac:dyDescent="0.2">
      <c r="B46" s="413">
        <v>46</v>
      </c>
      <c r="C46" s="415" t="s">
        <v>458</v>
      </c>
      <c r="D46" s="415" t="s">
        <v>557</v>
      </c>
    </row>
    <row r="47" spans="2:4" ht="15" customHeight="1" x14ac:dyDescent="0.2">
      <c r="B47" s="413">
        <v>47</v>
      </c>
      <c r="C47" s="415" t="s">
        <v>459</v>
      </c>
      <c r="D47" s="415" t="s">
        <v>558</v>
      </c>
    </row>
    <row r="48" spans="2:4" ht="15" customHeight="1" x14ac:dyDescent="0.2">
      <c r="B48" s="413">
        <v>48</v>
      </c>
      <c r="C48" s="415" t="s">
        <v>460</v>
      </c>
      <c r="D48" s="415" t="s">
        <v>559</v>
      </c>
    </row>
    <row r="49" spans="2:4" ht="15" customHeight="1" x14ac:dyDescent="0.2">
      <c r="B49" s="413">
        <v>49</v>
      </c>
      <c r="C49" s="415" t="s">
        <v>461</v>
      </c>
      <c r="D49" s="415" t="s">
        <v>560</v>
      </c>
    </row>
    <row r="50" spans="2:4" ht="15" customHeight="1" x14ac:dyDescent="0.2">
      <c r="B50" s="413">
        <v>50</v>
      </c>
      <c r="C50" s="415" t="s">
        <v>462</v>
      </c>
      <c r="D50" s="415" t="s">
        <v>561</v>
      </c>
    </row>
    <row r="51" spans="2:4" ht="15" customHeight="1" x14ac:dyDescent="0.2">
      <c r="B51" s="413">
        <v>51</v>
      </c>
      <c r="C51" s="415" t="s">
        <v>463</v>
      </c>
      <c r="D51" s="415" t="s">
        <v>562</v>
      </c>
    </row>
    <row r="52" spans="2:4" ht="15" customHeight="1" x14ac:dyDescent="0.2">
      <c r="B52" s="413">
        <v>52</v>
      </c>
      <c r="C52" s="415" t="s">
        <v>464</v>
      </c>
      <c r="D52" s="415" t="s">
        <v>563</v>
      </c>
    </row>
    <row r="53" spans="2:4" ht="15" customHeight="1" x14ac:dyDescent="0.2">
      <c r="B53" s="413">
        <v>53</v>
      </c>
      <c r="C53" s="415" t="s">
        <v>465</v>
      </c>
      <c r="D53" s="415" t="s">
        <v>564</v>
      </c>
    </row>
    <row r="54" spans="2:4" ht="15" customHeight="1" x14ac:dyDescent="0.2">
      <c r="B54" s="413">
        <v>54</v>
      </c>
      <c r="C54" s="415" t="s">
        <v>466</v>
      </c>
      <c r="D54" s="415" t="s">
        <v>565</v>
      </c>
    </row>
    <row r="55" spans="2:4" ht="15" customHeight="1" x14ac:dyDescent="0.2">
      <c r="B55" s="413">
        <v>55</v>
      </c>
      <c r="C55" s="415" t="s">
        <v>467</v>
      </c>
      <c r="D55" s="415" t="s">
        <v>566</v>
      </c>
    </row>
    <row r="56" spans="2:4" ht="15" customHeight="1" x14ac:dyDescent="0.2">
      <c r="B56" s="413">
        <v>56</v>
      </c>
      <c r="C56" s="415" t="s">
        <v>468</v>
      </c>
      <c r="D56" s="415" t="s">
        <v>567</v>
      </c>
    </row>
    <row r="57" spans="2:4" ht="15" customHeight="1" x14ac:dyDescent="0.2">
      <c r="B57" s="413">
        <v>57</v>
      </c>
      <c r="C57" s="415" t="s">
        <v>469</v>
      </c>
      <c r="D57" s="415" t="s">
        <v>568</v>
      </c>
    </row>
    <row r="58" spans="2:4" ht="15" customHeight="1" x14ac:dyDescent="0.2">
      <c r="B58" s="413">
        <v>58</v>
      </c>
      <c r="C58" s="415" t="s">
        <v>470</v>
      </c>
      <c r="D58" s="415" t="s">
        <v>569</v>
      </c>
    </row>
    <row r="59" spans="2:4" ht="15" customHeight="1" x14ac:dyDescent="0.2">
      <c r="B59" s="413">
        <v>59</v>
      </c>
      <c r="C59" s="415" t="s">
        <v>471</v>
      </c>
      <c r="D59" s="415" t="s">
        <v>570</v>
      </c>
    </row>
    <row r="60" spans="2:4" ht="15" customHeight="1" x14ac:dyDescent="0.2">
      <c r="B60" s="413">
        <v>60</v>
      </c>
      <c r="C60" s="415" t="s">
        <v>472</v>
      </c>
      <c r="D60" s="415" t="s">
        <v>571</v>
      </c>
    </row>
    <row r="61" spans="2:4" ht="15" customHeight="1" x14ac:dyDescent="0.2">
      <c r="B61" s="413">
        <v>61</v>
      </c>
      <c r="C61" s="415" t="s">
        <v>473</v>
      </c>
      <c r="D61" s="415" t="s">
        <v>572</v>
      </c>
    </row>
    <row r="62" spans="2:4" ht="15" customHeight="1" x14ac:dyDescent="0.2">
      <c r="B62" s="413">
        <v>62</v>
      </c>
      <c r="C62" s="415" t="s">
        <v>474</v>
      </c>
      <c r="D62" s="415" t="s">
        <v>573</v>
      </c>
    </row>
    <row r="63" spans="2:4" ht="15" customHeight="1" x14ac:dyDescent="0.2">
      <c r="B63" s="413">
        <v>63</v>
      </c>
      <c r="C63" s="415" t="s">
        <v>475</v>
      </c>
      <c r="D63" s="415" t="s">
        <v>574</v>
      </c>
    </row>
    <row r="64" spans="2:4" ht="15" customHeight="1" x14ac:dyDescent="0.2">
      <c r="B64" s="413">
        <v>64</v>
      </c>
      <c r="C64" s="415" t="s">
        <v>476</v>
      </c>
      <c r="D64" s="415" t="s">
        <v>575</v>
      </c>
    </row>
    <row r="65" spans="2:4" ht="15" customHeight="1" x14ac:dyDescent="0.2">
      <c r="B65" s="413">
        <v>65</v>
      </c>
      <c r="C65" s="415" t="s">
        <v>477</v>
      </c>
      <c r="D65" s="415" t="s">
        <v>576</v>
      </c>
    </row>
    <row r="66" spans="2:4" ht="15" customHeight="1" x14ac:dyDescent="0.2">
      <c r="B66" s="413">
        <v>66</v>
      </c>
      <c r="C66" s="415" t="s">
        <v>478</v>
      </c>
      <c r="D66" s="415" t="s">
        <v>577</v>
      </c>
    </row>
    <row r="67" spans="2:4" ht="15" customHeight="1" x14ac:dyDescent="0.2">
      <c r="B67" s="413">
        <v>67</v>
      </c>
      <c r="C67" s="415" t="s">
        <v>479</v>
      </c>
      <c r="D67" s="415" t="s">
        <v>578</v>
      </c>
    </row>
    <row r="68" spans="2:4" ht="15" customHeight="1" x14ac:dyDescent="0.2">
      <c r="B68" s="413">
        <v>68</v>
      </c>
      <c r="C68" s="415" t="s">
        <v>480</v>
      </c>
      <c r="D68" s="415" t="s">
        <v>579</v>
      </c>
    </row>
    <row r="69" spans="2:4" ht="15" customHeight="1" x14ac:dyDescent="0.2">
      <c r="B69" s="413">
        <v>69</v>
      </c>
      <c r="C69" s="415" t="s">
        <v>481</v>
      </c>
      <c r="D69" s="415" t="s">
        <v>580</v>
      </c>
    </row>
    <row r="70" spans="2:4" ht="15" customHeight="1" x14ac:dyDescent="0.2">
      <c r="B70" s="413">
        <v>70</v>
      </c>
      <c r="C70" s="415" t="s">
        <v>482</v>
      </c>
      <c r="D70" s="415" t="s">
        <v>581</v>
      </c>
    </row>
    <row r="71" spans="2:4" ht="15" customHeight="1" x14ac:dyDescent="0.2">
      <c r="B71" s="413">
        <v>71</v>
      </c>
      <c r="C71" s="415" t="s">
        <v>483</v>
      </c>
      <c r="D71" s="415" t="s">
        <v>582</v>
      </c>
    </row>
    <row r="72" spans="2:4" ht="15" customHeight="1" x14ac:dyDescent="0.2">
      <c r="B72" s="413">
        <v>72</v>
      </c>
      <c r="C72" s="415" t="s">
        <v>484</v>
      </c>
      <c r="D72" s="415" t="s">
        <v>583</v>
      </c>
    </row>
    <row r="73" spans="2:4" ht="15" customHeight="1" x14ac:dyDescent="0.2">
      <c r="B73" s="413">
        <v>73</v>
      </c>
      <c r="C73" s="415" t="s">
        <v>485</v>
      </c>
      <c r="D73" s="415" t="s">
        <v>584</v>
      </c>
    </row>
    <row r="74" spans="2:4" ht="15" customHeight="1" x14ac:dyDescent="0.2">
      <c r="B74" s="413">
        <v>74</v>
      </c>
      <c r="C74" s="415" t="s">
        <v>486</v>
      </c>
      <c r="D74" s="415" t="s">
        <v>585</v>
      </c>
    </row>
    <row r="75" spans="2:4" ht="15" customHeight="1" x14ac:dyDescent="0.2">
      <c r="B75" s="413">
        <v>75</v>
      </c>
      <c r="C75" s="415" t="s">
        <v>487</v>
      </c>
      <c r="D75" s="415" t="s">
        <v>586</v>
      </c>
    </row>
    <row r="76" spans="2:4" ht="15" customHeight="1" x14ac:dyDescent="0.2">
      <c r="B76" s="413">
        <v>76</v>
      </c>
      <c r="C76" s="415" t="s">
        <v>488</v>
      </c>
      <c r="D76" s="415" t="s">
        <v>587</v>
      </c>
    </row>
    <row r="77" spans="2:4" ht="15" customHeight="1" x14ac:dyDescent="0.2">
      <c r="B77" s="413">
        <v>77</v>
      </c>
      <c r="C77" s="415" t="s">
        <v>489</v>
      </c>
      <c r="D77" s="415" t="s">
        <v>588</v>
      </c>
    </row>
    <row r="78" spans="2:4" ht="15" customHeight="1" x14ac:dyDescent="0.2">
      <c r="B78" s="413">
        <v>78</v>
      </c>
      <c r="C78" s="415" t="s">
        <v>490</v>
      </c>
      <c r="D78" s="415" t="s">
        <v>589</v>
      </c>
    </row>
    <row r="79" spans="2:4" ht="15" customHeight="1" x14ac:dyDescent="0.2">
      <c r="B79" s="413">
        <v>79</v>
      </c>
      <c r="C79" s="415" t="s">
        <v>491</v>
      </c>
      <c r="D79" s="415" t="s">
        <v>590</v>
      </c>
    </row>
    <row r="80" spans="2:4" ht="15" customHeight="1" x14ac:dyDescent="0.2">
      <c r="B80" s="413">
        <v>80</v>
      </c>
      <c r="C80" s="415" t="s">
        <v>492</v>
      </c>
      <c r="D80" s="415" t="s">
        <v>591</v>
      </c>
    </row>
    <row r="81" spans="2:4" ht="15" customHeight="1" x14ac:dyDescent="0.2">
      <c r="B81" s="413">
        <v>81</v>
      </c>
      <c r="C81" s="415" t="s">
        <v>493</v>
      </c>
      <c r="D81" s="415" t="s">
        <v>592</v>
      </c>
    </row>
    <row r="82" spans="2:4" ht="15" customHeight="1" x14ac:dyDescent="0.2">
      <c r="B82" s="413">
        <v>82</v>
      </c>
      <c r="C82" s="415" t="s">
        <v>494</v>
      </c>
      <c r="D82" s="415" t="s">
        <v>593</v>
      </c>
    </row>
    <row r="83" spans="2:4" ht="15" customHeight="1" x14ac:dyDescent="0.2">
      <c r="B83" s="413">
        <v>83</v>
      </c>
      <c r="C83" s="415" t="s">
        <v>495</v>
      </c>
      <c r="D83" s="415" t="s">
        <v>594</v>
      </c>
    </row>
    <row r="84" spans="2:4" ht="15" customHeight="1" x14ac:dyDescent="0.2">
      <c r="B84" s="413">
        <v>84</v>
      </c>
      <c r="C84" s="415" t="s">
        <v>496</v>
      </c>
      <c r="D84" s="415" t="s">
        <v>595</v>
      </c>
    </row>
    <row r="85" spans="2:4" ht="15" customHeight="1" x14ac:dyDescent="0.2">
      <c r="B85" s="413">
        <v>85</v>
      </c>
      <c r="C85" s="415" t="s">
        <v>497</v>
      </c>
      <c r="D85" s="415" t="s">
        <v>596</v>
      </c>
    </row>
    <row r="86" spans="2:4" ht="15" customHeight="1" x14ac:dyDescent="0.2">
      <c r="B86" s="413">
        <v>86</v>
      </c>
      <c r="C86" s="415" t="s">
        <v>498</v>
      </c>
      <c r="D86" s="415" t="s">
        <v>597</v>
      </c>
    </row>
    <row r="87" spans="2:4" ht="15" customHeight="1" x14ac:dyDescent="0.2">
      <c r="B87" s="413">
        <v>87</v>
      </c>
      <c r="C87" s="415" t="s">
        <v>499</v>
      </c>
      <c r="D87" s="415" t="s">
        <v>598</v>
      </c>
    </row>
    <row r="88" spans="2:4" ht="15" customHeight="1" x14ac:dyDescent="0.2">
      <c r="B88" s="413">
        <v>88</v>
      </c>
      <c r="C88" s="415" t="s">
        <v>500</v>
      </c>
      <c r="D88" s="415" t="s">
        <v>599</v>
      </c>
    </row>
    <row r="89" spans="2:4" ht="15" customHeight="1" x14ac:dyDescent="0.2">
      <c r="B89" s="413">
        <v>89</v>
      </c>
      <c r="C89" s="415" t="s">
        <v>501</v>
      </c>
      <c r="D89" s="415" t="s">
        <v>600</v>
      </c>
    </row>
    <row r="90" spans="2:4" ht="15" customHeight="1" x14ac:dyDescent="0.2">
      <c r="B90" s="413">
        <v>90</v>
      </c>
      <c r="C90" s="415" t="s">
        <v>502</v>
      </c>
      <c r="D90" s="415" t="s">
        <v>601</v>
      </c>
    </row>
    <row r="91" spans="2:4" ht="15" customHeight="1" x14ac:dyDescent="0.2">
      <c r="B91" s="413">
        <v>91</v>
      </c>
      <c r="C91" s="415" t="s">
        <v>503</v>
      </c>
      <c r="D91" s="415" t="s">
        <v>602</v>
      </c>
    </row>
    <row r="92" spans="2:4" ht="15" customHeight="1" x14ac:dyDescent="0.2">
      <c r="B92" s="413">
        <v>92</v>
      </c>
      <c r="C92" s="415" t="s">
        <v>504</v>
      </c>
      <c r="D92" s="415" t="s">
        <v>603</v>
      </c>
    </row>
    <row r="93" spans="2:4" ht="15" customHeight="1" x14ac:dyDescent="0.2">
      <c r="B93" s="413">
        <v>93</v>
      </c>
      <c r="C93" s="415" t="s">
        <v>505</v>
      </c>
      <c r="D93" s="415" t="s">
        <v>604</v>
      </c>
    </row>
    <row r="94" spans="2:4" ht="15" customHeight="1" x14ac:dyDescent="0.2">
      <c r="B94" s="413">
        <v>94</v>
      </c>
      <c r="C94" s="415" t="s">
        <v>506</v>
      </c>
      <c r="D94" s="415" t="s">
        <v>605</v>
      </c>
    </row>
    <row r="95" spans="2:4" ht="15" customHeight="1" x14ac:dyDescent="0.2">
      <c r="B95" s="413">
        <v>95</v>
      </c>
      <c r="C95" s="415" t="s">
        <v>507</v>
      </c>
      <c r="D95" s="415" t="s">
        <v>606</v>
      </c>
    </row>
    <row r="96" spans="2:4" ht="15" customHeight="1" x14ac:dyDescent="0.2">
      <c r="B96" s="413">
        <v>96</v>
      </c>
      <c r="C96" s="415" t="s">
        <v>508</v>
      </c>
      <c r="D96" s="415" t="s">
        <v>607</v>
      </c>
    </row>
    <row r="97" spans="2:4" ht="15" customHeight="1" x14ac:dyDescent="0.2">
      <c r="B97" s="413">
        <v>97</v>
      </c>
      <c r="C97" s="415" t="s">
        <v>509</v>
      </c>
      <c r="D97" s="415" t="s">
        <v>608</v>
      </c>
    </row>
    <row r="98" spans="2:4" ht="15" customHeight="1" x14ac:dyDescent="0.2">
      <c r="B98" s="413">
        <v>98</v>
      </c>
      <c r="C98" s="415" t="s">
        <v>510</v>
      </c>
      <c r="D98" s="415" t="s">
        <v>609</v>
      </c>
    </row>
    <row r="99" spans="2:4" ht="15" customHeight="1" x14ac:dyDescent="0.2">
      <c r="B99" s="430">
        <v>99</v>
      </c>
      <c r="C99" s="431" t="s">
        <v>511</v>
      </c>
      <c r="D99" s="431" t="s">
        <v>610</v>
      </c>
    </row>
    <row r="100" spans="2:4" ht="15" customHeight="1" x14ac:dyDescent="0.15"/>
  </sheetData>
  <sheetProtection algorithmName="SHA-512" hashValue="VG0Gk0RhaR7Msjsz28fehyB7/82p/BwUygIPzusY8Jc5qozE6OGd72YoX+H6J0psX8JrRlHoaFbThJgmmG57tQ==" saltValue="9rpTn/FiLygsgqu3ILtYxg==" spinCount="100000" sheet="1" objects="1" scenarios="1" selectLockedCells="1" selectUnlockedCells="1"/>
  <mergeCells count="2">
    <mergeCell ref="E13:H14"/>
    <mergeCell ref="E19:H21"/>
  </mergeCells>
  <pageMargins left="0.74791666666666701" right="0.74791666666666701" top="0.98402777777777795" bottom="0.98402777777777795" header="0.51180555555555496" footer="0.51180555555555496"/>
  <pageSetup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1"/>
  </sheetPr>
  <dimension ref="B1:AIU100"/>
  <sheetViews>
    <sheetView showGridLines="0" showRowColHeaders="0" zoomScaleNormal="100" zoomScalePageLayoutView="60" workbookViewId="0" xr3:uid="{44B22561-5205-5C8A-B808-2C70100D228F}">
      <selection activeCell="G18" sqref="G18"/>
    </sheetView>
  </sheetViews>
  <sheetFormatPr defaultColWidth="59.32421875" defaultRowHeight="12.75" x14ac:dyDescent="0.15"/>
  <cols>
    <col min="1" max="1" width="2.5546875" style="432" customWidth="1"/>
    <col min="2" max="2" width="6.05078125" style="432" hidden="1" customWidth="1"/>
    <col min="3" max="3" width="15.73828125" style="432" hidden="1" customWidth="1"/>
    <col min="4" max="4" width="15.73828125" style="410" hidden="1" customWidth="1"/>
    <col min="5" max="8" width="13.71875" style="410" customWidth="1"/>
    <col min="9" max="931" width="6.72265625" style="410" customWidth="1"/>
    <col min="932" max="1023" width="6.72265625" style="432" customWidth="1"/>
    <col min="1024" max="16384" width="59.32421875" style="432"/>
  </cols>
  <sheetData>
    <row r="1" spans="2:68" ht="15" customHeight="1" x14ac:dyDescent="0.2">
      <c r="B1" s="406">
        <v>1</v>
      </c>
      <c r="C1" s="407" t="s">
        <v>413</v>
      </c>
      <c r="D1" s="408" t="s">
        <v>512</v>
      </c>
      <c r="E1" s="409"/>
      <c r="F1" s="409"/>
      <c r="G1" s="409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</row>
    <row r="2" spans="2:68" ht="15" customHeight="1" x14ac:dyDescent="0.2">
      <c r="B2" s="413">
        <v>2</v>
      </c>
      <c r="C2" s="414" t="s">
        <v>414</v>
      </c>
      <c r="D2" s="415" t="s">
        <v>513</v>
      </c>
      <c r="E2" s="416">
        <f>IF('ANNEXURE II'!I61="NO TAX",0,IF('ANNEXURE II'!I61&lt;0,-'ANNEXURE II'!I61,'ANNEXURE II'!I61))</f>
        <v>0</v>
      </c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2"/>
    </row>
    <row r="3" spans="2:68" ht="15" customHeight="1" x14ac:dyDescent="0.2">
      <c r="B3" s="413">
        <v>3</v>
      </c>
      <c r="C3" s="414" t="s">
        <v>415</v>
      </c>
      <c r="D3" s="415" t="s">
        <v>514</v>
      </c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412"/>
      <c r="BO3" s="412"/>
      <c r="BP3" s="412"/>
    </row>
    <row r="4" spans="2:68" ht="15" customHeight="1" x14ac:dyDescent="0.2">
      <c r="B4" s="413">
        <v>4</v>
      </c>
      <c r="C4" s="414" t="s">
        <v>416</v>
      </c>
      <c r="D4" s="415" t="s">
        <v>515</v>
      </c>
      <c r="E4" s="417"/>
      <c r="F4" s="417"/>
      <c r="G4" s="417"/>
      <c r="H4" s="418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P4" s="412"/>
      <c r="AQ4" s="412"/>
      <c r="AR4" s="412"/>
      <c r="AS4" s="412"/>
      <c r="AT4" s="412"/>
      <c r="AU4" s="412"/>
      <c r="AV4" s="412"/>
      <c r="AW4" s="412"/>
      <c r="AX4" s="412"/>
      <c r="AY4" s="412"/>
      <c r="AZ4" s="412"/>
      <c r="BA4" s="412"/>
      <c r="BB4" s="412"/>
      <c r="BC4" s="412"/>
      <c r="BD4" s="412"/>
      <c r="BE4" s="412"/>
      <c r="BF4" s="412"/>
      <c r="BG4" s="412"/>
      <c r="BH4" s="412"/>
      <c r="BI4" s="412"/>
      <c r="BJ4" s="412"/>
      <c r="BK4" s="412"/>
      <c r="BL4" s="412"/>
      <c r="BM4" s="412"/>
      <c r="BN4" s="412"/>
      <c r="BO4" s="412"/>
      <c r="BP4" s="412"/>
    </row>
    <row r="5" spans="2:68" ht="15" customHeight="1" x14ac:dyDescent="0.2">
      <c r="B5" s="413">
        <v>5</v>
      </c>
      <c r="C5" s="414" t="s">
        <v>417</v>
      </c>
      <c r="D5" s="415" t="s">
        <v>516</v>
      </c>
      <c r="H5" s="418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412"/>
    </row>
    <row r="6" spans="2:68" ht="15" customHeight="1" x14ac:dyDescent="0.2">
      <c r="B6" s="413">
        <v>6</v>
      </c>
      <c r="C6" s="414" t="s">
        <v>418</v>
      </c>
      <c r="D6" s="415" t="s">
        <v>517</v>
      </c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412"/>
    </row>
    <row r="7" spans="2:68" ht="15" customHeight="1" x14ac:dyDescent="0.2">
      <c r="B7" s="413">
        <v>7</v>
      </c>
      <c r="C7" s="414" t="s">
        <v>419</v>
      </c>
      <c r="D7" s="415" t="s">
        <v>518</v>
      </c>
      <c r="E7" s="419">
        <f>INT(E2/100000)</f>
        <v>0</v>
      </c>
      <c r="F7" s="419">
        <f>INT(E2/1000-E7*100)</f>
        <v>0</v>
      </c>
      <c r="G7" s="419">
        <f>INT(E2/100-E7*1000-F7*10)</f>
        <v>0</v>
      </c>
      <c r="H7" s="419">
        <f>INT(E2-E7*100000-F7*1000-G7*100)</f>
        <v>0</v>
      </c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P7" s="412"/>
      <c r="AQ7" s="412"/>
      <c r="AR7" s="412"/>
      <c r="AS7" s="412"/>
      <c r="AT7" s="412"/>
      <c r="AU7" s="412"/>
      <c r="AV7" s="412"/>
      <c r="AW7" s="412"/>
      <c r="AX7" s="412"/>
      <c r="AY7" s="412"/>
      <c r="AZ7" s="412"/>
      <c r="BA7" s="412"/>
      <c r="BB7" s="412"/>
      <c r="BC7" s="412"/>
      <c r="BD7" s="412"/>
      <c r="BE7" s="412"/>
      <c r="BF7" s="412"/>
      <c r="BG7" s="412"/>
      <c r="BH7" s="412"/>
      <c r="BI7" s="412"/>
      <c r="BJ7" s="412"/>
      <c r="BK7" s="412"/>
      <c r="BL7" s="412"/>
      <c r="BM7" s="412"/>
      <c r="BN7" s="412"/>
      <c r="BO7" s="412"/>
      <c r="BP7" s="412"/>
    </row>
    <row r="8" spans="2:68" ht="15" customHeight="1" x14ac:dyDescent="0.2">
      <c r="B8" s="413">
        <v>8</v>
      </c>
      <c r="C8" s="414" t="s">
        <v>420</v>
      </c>
      <c r="D8" s="415" t="s">
        <v>519</v>
      </c>
      <c r="E8" s="419">
        <f>IF(AND(G7=0,H7=0),1,2)</f>
        <v>1</v>
      </c>
      <c r="F8" s="419">
        <f>IF(H7=0,3,4)</f>
        <v>3</v>
      </c>
      <c r="G8" s="419">
        <f>IF(OR(E8=1,F8=3),5,6)</f>
        <v>5</v>
      </c>
      <c r="H8" s="420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</row>
    <row r="9" spans="2:68" ht="15" customHeight="1" x14ac:dyDescent="0.2">
      <c r="B9" s="413">
        <v>9</v>
      </c>
      <c r="C9" s="414" t="s">
        <v>421</v>
      </c>
      <c r="D9" s="415" t="s">
        <v>520</v>
      </c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2"/>
      <c r="BK9" s="412"/>
      <c r="BL9" s="412"/>
      <c r="BM9" s="412"/>
      <c r="BN9" s="412"/>
      <c r="BO9" s="412"/>
      <c r="BP9" s="412"/>
    </row>
    <row r="10" spans="2:68" ht="15" customHeight="1" x14ac:dyDescent="0.2">
      <c r="B10" s="413">
        <v>10</v>
      </c>
      <c r="C10" s="414" t="s">
        <v>422</v>
      </c>
      <c r="D10" s="415" t="s">
        <v>521</v>
      </c>
      <c r="E10" s="421" t="str">
        <f>IF(E7=0,"",LOOKUP(E7,B1:B99,C1:C99))</f>
        <v/>
      </c>
      <c r="F10" s="421" t="str">
        <f>IF(F7=0,"",LOOKUP(F7,B1:B99,C1:C99))</f>
        <v/>
      </c>
      <c r="G10" s="421" t="str">
        <f>IF(G7=0,"",LOOKUP(G7,B1:B99,C1:C99))</f>
        <v/>
      </c>
      <c r="H10" s="421" t="str">
        <f>IF(H7=0,"",LOOKUP(H7,B1:B99,C1:C99))</f>
        <v/>
      </c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</row>
    <row r="11" spans="2:68" ht="15" customHeight="1" x14ac:dyDescent="0.2">
      <c r="B11" s="413">
        <v>11</v>
      </c>
      <c r="C11" s="414" t="s">
        <v>423</v>
      </c>
      <c r="D11" s="415" t="s">
        <v>522</v>
      </c>
      <c r="E11" s="421" t="str">
        <f>IF(E7&gt;1," Lakhs ",IF(E7&gt;0," Lakh ",""))</f>
        <v/>
      </c>
      <c r="F11" s="421" t="str">
        <f>IF(F7&gt;0," Thousand ","")</f>
        <v/>
      </c>
      <c r="G11" s="421" t="str">
        <f>IF(G7&gt;0," Hundred ","")</f>
        <v/>
      </c>
      <c r="H11" s="422" t="str">
        <f>IF(E2="","",IF(E2=1,"Rupee",IF(E2&gt;1,"Rupees","")))</f>
        <v/>
      </c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2"/>
      <c r="BE11" s="412"/>
      <c r="BF11" s="412"/>
      <c r="BG11" s="412"/>
      <c r="BH11" s="412"/>
      <c r="BI11" s="412"/>
      <c r="BJ11" s="412"/>
      <c r="BK11" s="412"/>
      <c r="BL11" s="412"/>
      <c r="BM11" s="412"/>
      <c r="BN11" s="412"/>
      <c r="BO11" s="412"/>
      <c r="BP11" s="412"/>
    </row>
    <row r="12" spans="2:68" ht="15" customHeight="1" x14ac:dyDescent="0.2">
      <c r="B12" s="413">
        <v>12</v>
      </c>
      <c r="C12" s="414" t="s">
        <v>424</v>
      </c>
      <c r="D12" s="415" t="s">
        <v>523</v>
      </c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2"/>
      <c r="AV12" s="412"/>
      <c r="AW12" s="412"/>
      <c r="AX12" s="412"/>
      <c r="AY12" s="412"/>
      <c r="AZ12" s="412"/>
      <c r="BA12" s="412"/>
      <c r="BB12" s="412"/>
      <c r="BC12" s="412"/>
      <c r="BD12" s="412"/>
      <c r="BE12" s="412"/>
      <c r="BF12" s="412"/>
      <c r="BG12" s="412"/>
      <c r="BH12" s="412"/>
      <c r="BI12" s="412"/>
      <c r="BJ12" s="412"/>
      <c r="BK12" s="412"/>
      <c r="BL12" s="412"/>
      <c r="BM12" s="412"/>
      <c r="BN12" s="412"/>
      <c r="BO12" s="412"/>
      <c r="BP12" s="412"/>
    </row>
    <row r="13" spans="2:68" ht="15" customHeight="1" x14ac:dyDescent="0.2">
      <c r="B13" s="413">
        <v>13</v>
      </c>
      <c r="C13" s="414" t="s">
        <v>425</v>
      </c>
      <c r="D13" s="414" t="s">
        <v>524</v>
      </c>
      <c r="E13" s="1113" t="str">
        <f>IF(E2=0,"Zero",IF(E2&gt;0,TRIM(CONCATENATE(E10,E11,F10,F11,G10,G11,IF(AND(E2&gt;100,G8=6)," and ",""),H10,"  ",H11)),""))</f>
        <v>Zero</v>
      </c>
      <c r="F13" s="1114"/>
      <c r="G13" s="1114"/>
      <c r="H13" s="1115"/>
      <c r="I13" s="423"/>
      <c r="J13" s="423"/>
      <c r="K13" s="423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412"/>
      <c r="BE13" s="412"/>
      <c r="BF13" s="412"/>
      <c r="BG13" s="412"/>
      <c r="BH13" s="412"/>
      <c r="BI13" s="412"/>
      <c r="BJ13" s="412"/>
      <c r="BK13" s="412"/>
      <c r="BL13" s="412"/>
      <c r="BM13" s="412"/>
      <c r="BN13" s="412"/>
      <c r="BO13" s="412"/>
      <c r="BP13" s="412"/>
    </row>
    <row r="14" spans="2:68" ht="15" customHeight="1" x14ac:dyDescent="0.2">
      <c r="B14" s="413">
        <v>14</v>
      </c>
      <c r="C14" s="414" t="s">
        <v>426</v>
      </c>
      <c r="D14" s="414" t="s">
        <v>525</v>
      </c>
      <c r="E14" s="1116"/>
      <c r="F14" s="1117"/>
      <c r="G14" s="1117"/>
      <c r="H14" s="1118"/>
      <c r="I14" s="424"/>
      <c r="J14" s="424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2"/>
      <c r="BE14" s="412"/>
      <c r="BF14" s="412"/>
      <c r="BG14" s="412"/>
      <c r="BH14" s="412"/>
      <c r="BI14" s="412"/>
      <c r="BJ14" s="412"/>
      <c r="BK14" s="412"/>
      <c r="BL14" s="412"/>
      <c r="BM14" s="412"/>
      <c r="BN14" s="412"/>
      <c r="BO14" s="412"/>
      <c r="BP14" s="412"/>
    </row>
    <row r="15" spans="2:68" ht="15" customHeight="1" x14ac:dyDescent="0.2">
      <c r="B15" s="413">
        <v>15</v>
      </c>
      <c r="C15" s="414" t="s">
        <v>427</v>
      </c>
      <c r="D15" s="414" t="s">
        <v>526</v>
      </c>
      <c r="E15" s="423"/>
      <c r="F15" s="423"/>
      <c r="G15" s="423"/>
      <c r="H15" s="423"/>
      <c r="I15" s="423"/>
      <c r="J15" s="423"/>
      <c r="K15" s="423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</row>
    <row r="16" spans="2:68" ht="15" customHeight="1" x14ac:dyDescent="0.2">
      <c r="B16" s="413">
        <v>16</v>
      </c>
      <c r="C16" s="414" t="s">
        <v>428</v>
      </c>
      <c r="D16" s="415" t="s">
        <v>527</v>
      </c>
      <c r="E16" s="425" t="str">
        <f>IF(E7=0,"",LOOKUP(E7,B1:B99,D1:D99))</f>
        <v/>
      </c>
      <c r="F16" s="425" t="str">
        <f>IF(F7=0,"",LOOKUP(F7,B1:B99,D1:D99))</f>
        <v/>
      </c>
      <c r="G16" s="425" t="str">
        <f>IF(G7=0,"",LOOKUP(G7,B1:B99,D1:D99))</f>
        <v/>
      </c>
      <c r="H16" s="426" t="str">
        <f>IF(H7=0,"",LOOKUP(H7,B1:B99,D1:D99))</f>
        <v/>
      </c>
      <c r="I16" s="424"/>
      <c r="J16" s="424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12"/>
      <c r="BG16" s="412"/>
      <c r="BH16" s="412"/>
      <c r="BI16" s="412"/>
      <c r="BJ16" s="412"/>
      <c r="BK16" s="412"/>
      <c r="BL16" s="412"/>
      <c r="BM16" s="412"/>
      <c r="BN16" s="412"/>
      <c r="BO16" s="412"/>
      <c r="BP16" s="412"/>
    </row>
    <row r="17" spans="2:11" ht="15" customHeight="1" x14ac:dyDescent="0.2">
      <c r="B17" s="413">
        <v>17</v>
      </c>
      <c r="C17" s="414" t="s">
        <v>429</v>
      </c>
      <c r="D17" s="415" t="s">
        <v>528</v>
      </c>
      <c r="E17" s="425" t="str">
        <f>IF(E7&gt;1," లక్షల ",IF(E7&gt;0," లక్ష ",""))</f>
        <v/>
      </c>
      <c r="F17" s="425" t="str">
        <f>IF(F7=1," వెయ్యి ",IF(F7&gt;0," వేల ",""))</f>
        <v/>
      </c>
      <c r="G17" s="425" t="str">
        <f>IF(G7=1," వంద",IF(G7&gt;0," వందల ",""))</f>
        <v/>
      </c>
      <c r="H17" s="425" t="str">
        <f>IF(E2="","",IF(E2=1,"రూపాయి",IF(E2&gt;1,"రూపాయలు","")))</f>
        <v/>
      </c>
      <c r="I17" s="427"/>
      <c r="J17" s="427"/>
    </row>
    <row r="18" spans="2:11" ht="15" customHeight="1" x14ac:dyDescent="0.2">
      <c r="B18" s="413">
        <v>18</v>
      </c>
      <c r="C18" s="414" t="s">
        <v>430</v>
      </c>
      <c r="D18" s="415" t="s">
        <v>529</v>
      </c>
      <c r="E18" s="428"/>
      <c r="F18" s="428"/>
      <c r="G18" s="428"/>
      <c r="H18" s="428"/>
      <c r="I18" s="427"/>
      <c r="J18" s="427"/>
    </row>
    <row r="19" spans="2:11" ht="15" customHeight="1" x14ac:dyDescent="0.2">
      <c r="B19" s="413">
        <v>19</v>
      </c>
      <c r="C19" s="414" t="s">
        <v>431</v>
      </c>
      <c r="D19" s="414" t="s">
        <v>530</v>
      </c>
      <c r="E19" s="1119" t="str">
        <f>IF(E2=0,"శూన్యం",IF(E2&gt;0,TRIM(CONCATENATE(E16,E17,F16,F17,G16,G17,IF(AND(E2&gt;100,G6=6)," ",""),H16,"  ",H17)),""))</f>
        <v>శూన్యం</v>
      </c>
      <c r="F19" s="1120"/>
      <c r="G19" s="1120"/>
      <c r="H19" s="1121"/>
      <c r="I19" s="427"/>
      <c r="J19" s="427"/>
    </row>
    <row r="20" spans="2:11" ht="15" customHeight="1" x14ac:dyDescent="0.2">
      <c r="B20" s="413">
        <v>20</v>
      </c>
      <c r="C20" s="415" t="s">
        <v>432</v>
      </c>
      <c r="D20" s="414" t="s">
        <v>531</v>
      </c>
      <c r="E20" s="1122"/>
      <c r="F20" s="1123"/>
      <c r="G20" s="1123"/>
      <c r="H20" s="1124"/>
    </row>
    <row r="21" spans="2:11" ht="15" customHeight="1" x14ac:dyDescent="0.2">
      <c r="B21" s="413">
        <v>21</v>
      </c>
      <c r="C21" s="415" t="s">
        <v>433</v>
      </c>
      <c r="D21" s="414" t="s">
        <v>532</v>
      </c>
      <c r="E21" s="1125"/>
      <c r="F21" s="1126"/>
      <c r="G21" s="1126"/>
      <c r="H21" s="1127"/>
    </row>
    <row r="22" spans="2:11" ht="15" customHeight="1" x14ac:dyDescent="0.2">
      <c r="B22" s="413">
        <v>22</v>
      </c>
      <c r="C22" s="415" t="s">
        <v>434</v>
      </c>
      <c r="D22" s="414" t="s">
        <v>533</v>
      </c>
      <c r="I22" s="429"/>
      <c r="J22" s="429"/>
      <c r="K22" s="429"/>
    </row>
    <row r="23" spans="2:11" ht="15" customHeight="1" x14ac:dyDescent="0.2">
      <c r="B23" s="413">
        <v>23</v>
      </c>
      <c r="C23" s="415" t="s">
        <v>435</v>
      </c>
      <c r="D23" s="414" t="s">
        <v>534</v>
      </c>
      <c r="I23" s="429"/>
      <c r="J23" s="429"/>
      <c r="K23" s="429"/>
    </row>
    <row r="24" spans="2:11" ht="15" customHeight="1" x14ac:dyDescent="0.2">
      <c r="B24" s="413">
        <v>24</v>
      </c>
      <c r="C24" s="415" t="s">
        <v>436</v>
      </c>
      <c r="D24" s="415" t="s">
        <v>535</v>
      </c>
    </row>
    <row r="25" spans="2:11" ht="15" customHeight="1" x14ac:dyDescent="0.2">
      <c r="B25" s="413">
        <v>25</v>
      </c>
      <c r="C25" s="415" t="s">
        <v>437</v>
      </c>
      <c r="D25" s="415" t="s">
        <v>536</v>
      </c>
    </row>
    <row r="26" spans="2:11" ht="15" customHeight="1" x14ac:dyDescent="0.2">
      <c r="B26" s="413">
        <v>26</v>
      </c>
      <c r="C26" s="415" t="s">
        <v>438</v>
      </c>
      <c r="D26" s="415" t="s">
        <v>537</v>
      </c>
    </row>
    <row r="27" spans="2:11" ht="15" customHeight="1" x14ac:dyDescent="0.2">
      <c r="B27" s="413">
        <v>27</v>
      </c>
      <c r="C27" s="415" t="s">
        <v>439</v>
      </c>
      <c r="D27" s="415" t="s">
        <v>538</v>
      </c>
    </row>
    <row r="28" spans="2:11" ht="15" customHeight="1" x14ac:dyDescent="0.2">
      <c r="B28" s="413">
        <v>28</v>
      </c>
      <c r="C28" s="415" t="s">
        <v>440</v>
      </c>
      <c r="D28" s="415" t="s">
        <v>539</v>
      </c>
    </row>
    <row r="29" spans="2:11" ht="15" customHeight="1" x14ac:dyDescent="0.2">
      <c r="B29" s="413">
        <v>29</v>
      </c>
      <c r="C29" s="415" t="s">
        <v>441</v>
      </c>
      <c r="D29" s="415" t="s">
        <v>540</v>
      </c>
    </row>
    <row r="30" spans="2:11" ht="15" customHeight="1" x14ac:dyDescent="0.2">
      <c r="B30" s="413">
        <v>30</v>
      </c>
      <c r="C30" s="415" t="s">
        <v>442</v>
      </c>
      <c r="D30" s="415" t="s">
        <v>541</v>
      </c>
    </row>
    <row r="31" spans="2:11" ht="15" customHeight="1" x14ac:dyDescent="0.2">
      <c r="B31" s="413">
        <v>31</v>
      </c>
      <c r="C31" s="415" t="s">
        <v>443</v>
      </c>
      <c r="D31" s="415" t="s">
        <v>542</v>
      </c>
    </row>
    <row r="32" spans="2:11" ht="15" customHeight="1" x14ac:dyDescent="0.2">
      <c r="B32" s="413">
        <v>32</v>
      </c>
      <c r="C32" s="415" t="s">
        <v>444</v>
      </c>
      <c r="D32" s="415" t="s">
        <v>543</v>
      </c>
    </row>
    <row r="33" spans="2:4" ht="15" customHeight="1" x14ac:dyDescent="0.2">
      <c r="B33" s="413">
        <v>33</v>
      </c>
      <c r="C33" s="415" t="s">
        <v>445</v>
      </c>
      <c r="D33" s="415" t="s">
        <v>544</v>
      </c>
    </row>
    <row r="34" spans="2:4" ht="15" customHeight="1" x14ac:dyDescent="0.2">
      <c r="B34" s="413">
        <v>34</v>
      </c>
      <c r="C34" s="415" t="s">
        <v>446</v>
      </c>
      <c r="D34" s="415" t="s">
        <v>545</v>
      </c>
    </row>
    <row r="35" spans="2:4" ht="15" customHeight="1" x14ac:dyDescent="0.2">
      <c r="B35" s="413">
        <v>35</v>
      </c>
      <c r="C35" s="415" t="s">
        <v>447</v>
      </c>
      <c r="D35" s="415" t="s">
        <v>546</v>
      </c>
    </row>
    <row r="36" spans="2:4" ht="15" customHeight="1" x14ac:dyDescent="0.2">
      <c r="B36" s="413">
        <v>36</v>
      </c>
      <c r="C36" s="415" t="s">
        <v>448</v>
      </c>
      <c r="D36" s="415" t="s">
        <v>547</v>
      </c>
    </row>
    <row r="37" spans="2:4" ht="15" customHeight="1" x14ac:dyDescent="0.2">
      <c r="B37" s="413">
        <v>37</v>
      </c>
      <c r="C37" s="415" t="s">
        <v>449</v>
      </c>
      <c r="D37" s="415" t="s">
        <v>548</v>
      </c>
    </row>
    <row r="38" spans="2:4" ht="15" customHeight="1" x14ac:dyDescent="0.2">
      <c r="B38" s="413">
        <v>38</v>
      </c>
      <c r="C38" s="415" t="s">
        <v>450</v>
      </c>
      <c r="D38" s="415" t="s">
        <v>549</v>
      </c>
    </row>
    <row r="39" spans="2:4" ht="15" customHeight="1" x14ac:dyDescent="0.2">
      <c r="B39" s="413">
        <v>39</v>
      </c>
      <c r="C39" s="415" t="s">
        <v>451</v>
      </c>
      <c r="D39" s="415" t="s">
        <v>550</v>
      </c>
    </row>
    <row r="40" spans="2:4" ht="15" customHeight="1" x14ac:dyDescent="0.2">
      <c r="B40" s="413">
        <v>40</v>
      </c>
      <c r="C40" s="415" t="s">
        <v>452</v>
      </c>
      <c r="D40" s="415" t="s">
        <v>551</v>
      </c>
    </row>
    <row r="41" spans="2:4" ht="15" customHeight="1" x14ac:dyDescent="0.2">
      <c r="B41" s="413">
        <v>41</v>
      </c>
      <c r="C41" s="415" t="s">
        <v>453</v>
      </c>
      <c r="D41" s="415" t="s">
        <v>552</v>
      </c>
    </row>
    <row r="42" spans="2:4" ht="15" customHeight="1" x14ac:dyDescent="0.2">
      <c r="B42" s="413">
        <v>42</v>
      </c>
      <c r="C42" s="415" t="s">
        <v>454</v>
      </c>
      <c r="D42" s="415" t="s">
        <v>553</v>
      </c>
    </row>
    <row r="43" spans="2:4" ht="15" customHeight="1" x14ac:dyDescent="0.2">
      <c r="B43" s="413">
        <v>43</v>
      </c>
      <c r="C43" s="415" t="s">
        <v>455</v>
      </c>
      <c r="D43" s="415" t="s">
        <v>554</v>
      </c>
    </row>
    <row r="44" spans="2:4" ht="15" customHeight="1" x14ac:dyDescent="0.2">
      <c r="B44" s="413">
        <v>44</v>
      </c>
      <c r="C44" s="415" t="s">
        <v>456</v>
      </c>
      <c r="D44" s="415" t="s">
        <v>555</v>
      </c>
    </row>
    <row r="45" spans="2:4" ht="15" customHeight="1" x14ac:dyDescent="0.2">
      <c r="B45" s="413">
        <v>45</v>
      </c>
      <c r="C45" s="415" t="s">
        <v>457</v>
      </c>
      <c r="D45" s="415" t="s">
        <v>556</v>
      </c>
    </row>
    <row r="46" spans="2:4" ht="15" customHeight="1" x14ac:dyDescent="0.2">
      <c r="B46" s="413">
        <v>46</v>
      </c>
      <c r="C46" s="415" t="s">
        <v>458</v>
      </c>
      <c r="D46" s="415" t="s">
        <v>557</v>
      </c>
    </row>
    <row r="47" spans="2:4" ht="15" customHeight="1" x14ac:dyDescent="0.2">
      <c r="B47" s="413">
        <v>47</v>
      </c>
      <c r="C47" s="415" t="s">
        <v>459</v>
      </c>
      <c r="D47" s="415" t="s">
        <v>558</v>
      </c>
    </row>
    <row r="48" spans="2:4" ht="15" customHeight="1" x14ac:dyDescent="0.2">
      <c r="B48" s="413">
        <v>48</v>
      </c>
      <c r="C48" s="415" t="s">
        <v>460</v>
      </c>
      <c r="D48" s="415" t="s">
        <v>559</v>
      </c>
    </row>
    <row r="49" spans="2:4" ht="15" customHeight="1" x14ac:dyDescent="0.2">
      <c r="B49" s="413">
        <v>49</v>
      </c>
      <c r="C49" s="415" t="s">
        <v>461</v>
      </c>
      <c r="D49" s="415" t="s">
        <v>560</v>
      </c>
    </row>
    <row r="50" spans="2:4" ht="15" customHeight="1" x14ac:dyDescent="0.2">
      <c r="B50" s="413">
        <v>50</v>
      </c>
      <c r="C50" s="415" t="s">
        <v>462</v>
      </c>
      <c r="D50" s="415" t="s">
        <v>561</v>
      </c>
    </row>
    <row r="51" spans="2:4" ht="15" customHeight="1" x14ac:dyDescent="0.2">
      <c r="B51" s="413">
        <v>51</v>
      </c>
      <c r="C51" s="415" t="s">
        <v>463</v>
      </c>
      <c r="D51" s="415" t="s">
        <v>562</v>
      </c>
    </row>
    <row r="52" spans="2:4" ht="15" customHeight="1" x14ac:dyDescent="0.2">
      <c r="B52" s="413">
        <v>52</v>
      </c>
      <c r="C52" s="415" t="s">
        <v>464</v>
      </c>
      <c r="D52" s="415" t="s">
        <v>563</v>
      </c>
    </row>
    <row r="53" spans="2:4" ht="15" customHeight="1" x14ac:dyDescent="0.2">
      <c r="B53" s="413">
        <v>53</v>
      </c>
      <c r="C53" s="415" t="s">
        <v>465</v>
      </c>
      <c r="D53" s="415" t="s">
        <v>564</v>
      </c>
    </row>
    <row r="54" spans="2:4" ht="15" customHeight="1" x14ac:dyDescent="0.2">
      <c r="B54" s="413">
        <v>54</v>
      </c>
      <c r="C54" s="415" t="s">
        <v>466</v>
      </c>
      <c r="D54" s="415" t="s">
        <v>565</v>
      </c>
    </row>
    <row r="55" spans="2:4" ht="15" customHeight="1" x14ac:dyDescent="0.2">
      <c r="B55" s="413">
        <v>55</v>
      </c>
      <c r="C55" s="415" t="s">
        <v>467</v>
      </c>
      <c r="D55" s="415" t="s">
        <v>566</v>
      </c>
    </row>
    <row r="56" spans="2:4" ht="15" customHeight="1" x14ac:dyDescent="0.2">
      <c r="B56" s="413">
        <v>56</v>
      </c>
      <c r="C56" s="415" t="s">
        <v>468</v>
      </c>
      <c r="D56" s="415" t="s">
        <v>567</v>
      </c>
    </row>
    <row r="57" spans="2:4" ht="15" customHeight="1" x14ac:dyDescent="0.2">
      <c r="B57" s="413">
        <v>57</v>
      </c>
      <c r="C57" s="415" t="s">
        <v>469</v>
      </c>
      <c r="D57" s="415" t="s">
        <v>568</v>
      </c>
    </row>
    <row r="58" spans="2:4" ht="15" customHeight="1" x14ac:dyDescent="0.2">
      <c r="B58" s="413">
        <v>58</v>
      </c>
      <c r="C58" s="415" t="s">
        <v>470</v>
      </c>
      <c r="D58" s="415" t="s">
        <v>569</v>
      </c>
    </row>
    <row r="59" spans="2:4" ht="15" customHeight="1" x14ac:dyDescent="0.2">
      <c r="B59" s="413">
        <v>59</v>
      </c>
      <c r="C59" s="415" t="s">
        <v>471</v>
      </c>
      <c r="D59" s="415" t="s">
        <v>570</v>
      </c>
    </row>
    <row r="60" spans="2:4" ht="15" customHeight="1" x14ac:dyDescent="0.2">
      <c r="B60" s="413">
        <v>60</v>
      </c>
      <c r="C60" s="415" t="s">
        <v>472</v>
      </c>
      <c r="D60" s="415" t="s">
        <v>571</v>
      </c>
    </row>
    <row r="61" spans="2:4" ht="15" customHeight="1" x14ac:dyDescent="0.2">
      <c r="B61" s="413">
        <v>61</v>
      </c>
      <c r="C61" s="415" t="s">
        <v>473</v>
      </c>
      <c r="D61" s="415" t="s">
        <v>572</v>
      </c>
    </row>
    <row r="62" spans="2:4" ht="15" customHeight="1" x14ac:dyDescent="0.2">
      <c r="B62" s="413">
        <v>62</v>
      </c>
      <c r="C62" s="415" t="s">
        <v>474</v>
      </c>
      <c r="D62" s="415" t="s">
        <v>573</v>
      </c>
    </row>
    <row r="63" spans="2:4" ht="15" customHeight="1" x14ac:dyDescent="0.2">
      <c r="B63" s="413">
        <v>63</v>
      </c>
      <c r="C63" s="415" t="s">
        <v>475</v>
      </c>
      <c r="D63" s="415" t="s">
        <v>574</v>
      </c>
    </row>
    <row r="64" spans="2:4" ht="15" customHeight="1" x14ac:dyDescent="0.2">
      <c r="B64" s="413">
        <v>64</v>
      </c>
      <c r="C64" s="415" t="s">
        <v>476</v>
      </c>
      <c r="D64" s="415" t="s">
        <v>575</v>
      </c>
    </row>
    <row r="65" spans="2:4" ht="15" customHeight="1" x14ac:dyDescent="0.2">
      <c r="B65" s="413">
        <v>65</v>
      </c>
      <c r="C65" s="415" t="s">
        <v>477</v>
      </c>
      <c r="D65" s="415" t="s">
        <v>576</v>
      </c>
    </row>
    <row r="66" spans="2:4" ht="15" customHeight="1" x14ac:dyDescent="0.2">
      <c r="B66" s="413">
        <v>66</v>
      </c>
      <c r="C66" s="415" t="s">
        <v>478</v>
      </c>
      <c r="D66" s="415" t="s">
        <v>577</v>
      </c>
    </row>
    <row r="67" spans="2:4" ht="15" customHeight="1" x14ac:dyDescent="0.2">
      <c r="B67" s="413">
        <v>67</v>
      </c>
      <c r="C67" s="415" t="s">
        <v>479</v>
      </c>
      <c r="D67" s="415" t="s">
        <v>578</v>
      </c>
    </row>
    <row r="68" spans="2:4" ht="15" customHeight="1" x14ac:dyDescent="0.2">
      <c r="B68" s="413">
        <v>68</v>
      </c>
      <c r="C68" s="415" t="s">
        <v>480</v>
      </c>
      <c r="D68" s="415" t="s">
        <v>579</v>
      </c>
    </row>
    <row r="69" spans="2:4" ht="15" customHeight="1" x14ac:dyDescent="0.2">
      <c r="B69" s="413">
        <v>69</v>
      </c>
      <c r="C69" s="415" t="s">
        <v>481</v>
      </c>
      <c r="D69" s="415" t="s">
        <v>580</v>
      </c>
    </row>
    <row r="70" spans="2:4" ht="15" customHeight="1" x14ac:dyDescent="0.2">
      <c r="B70" s="413">
        <v>70</v>
      </c>
      <c r="C70" s="415" t="s">
        <v>482</v>
      </c>
      <c r="D70" s="415" t="s">
        <v>581</v>
      </c>
    </row>
    <row r="71" spans="2:4" ht="15" customHeight="1" x14ac:dyDescent="0.2">
      <c r="B71" s="413">
        <v>71</v>
      </c>
      <c r="C71" s="415" t="s">
        <v>483</v>
      </c>
      <c r="D71" s="415" t="s">
        <v>582</v>
      </c>
    </row>
    <row r="72" spans="2:4" ht="15" customHeight="1" x14ac:dyDescent="0.2">
      <c r="B72" s="413">
        <v>72</v>
      </c>
      <c r="C72" s="415" t="s">
        <v>484</v>
      </c>
      <c r="D72" s="415" t="s">
        <v>583</v>
      </c>
    </row>
    <row r="73" spans="2:4" ht="15" customHeight="1" x14ac:dyDescent="0.2">
      <c r="B73" s="413">
        <v>73</v>
      </c>
      <c r="C73" s="415" t="s">
        <v>485</v>
      </c>
      <c r="D73" s="415" t="s">
        <v>584</v>
      </c>
    </row>
    <row r="74" spans="2:4" ht="15" customHeight="1" x14ac:dyDescent="0.2">
      <c r="B74" s="413">
        <v>74</v>
      </c>
      <c r="C74" s="415" t="s">
        <v>486</v>
      </c>
      <c r="D74" s="415" t="s">
        <v>585</v>
      </c>
    </row>
    <row r="75" spans="2:4" ht="15" customHeight="1" x14ac:dyDescent="0.2">
      <c r="B75" s="413">
        <v>75</v>
      </c>
      <c r="C75" s="415" t="s">
        <v>487</v>
      </c>
      <c r="D75" s="415" t="s">
        <v>586</v>
      </c>
    </row>
    <row r="76" spans="2:4" ht="15" customHeight="1" x14ac:dyDescent="0.2">
      <c r="B76" s="413">
        <v>76</v>
      </c>
      <c r="C76" s="415" t="s">
        <v>488</v>
      </c>
      <c r="D76" s="415" t="s">
        <v>587</v>
      </c>
    </row>
    <row r="77" spans="2:4" ht="15" customHeight="1" x14ac:dyDescent="0.2">
      <c r="B77" s="413">
        <v>77</v>
      </c>
      <c r="C77" s="415" t="s">
        <v>489</v>
      </c>
      <c r="D77" s="415" t="s">
        <v>588</v>
      </c>
    </row>
    <row r="78" spans="2:4" ht="15" customHeight="1" x14ac:dyDescent="0.2">
      <c r="B78" s="413">
        <v>78</v>
      </c>
      <c r="C78" s="415" t="s">
        <v>490</v>
      </c>
      <c r="D78" s="415" t="s">
        <v>589</v>
      </c>
    </row>
    <row r="79" spans="2:4" ht="15" customHeight="1" x14ac:dyDescent="0.2">
      <c r="B79" s="413">
        <v>79</v>
      </c>
      <c r="C79" s="415" t="s">
        <v>491</v>
      </c>
      <c r="D79" s="415" t="s">
        <v>590</v>
      </c>
    </row>
    <row r="80" spans="2:4" ht="15" customHeight="1" x14ac:dyDescent="0.2">
      <c r="B80" s="413">
        <v>80</v>
      </c>
      <c r="C80" s="415" t="s">
        <v>492</v>
      </c>
      <c r="D80" s="415" t="s">
        <v>591</v>
      </c>
    </row>
    <row r="81" spans="2:4" ht="15" customHeight="1" x14ac:dyDescent="0.2">
      <c r="B81" s="413">
        <v>81</v>
      </c>
      <c r="C81" s="415" t="s">
        <v>493</v>
      </c>
      <c r="D81" s="415" t="s">
        <v>592</v>
      </c>
    </row>
    <row r="82" spans="2:4" ht="15" customHeight="1" x14ac:dyDescent="0.2">
      <c r="B82" s="413">
        <v>82</v>
      </c>
      <c r="C82" s="415" t="s">
        <v>494</v>
      </c>
      <c r="D82" s="415" t="s">
        <v>593</v>
      </c>
    </row>
    <row r="83" spans="2:4" ht="15" customHeight="1" x14ac:dyDescent="0.2">
      <c r="B83" s="413">
        <v>83</v>
      </c>
      <c r="C83" s="415" t="s">
        <v>495</v>
      </c>
      <c r="D83" s="415" t="s">
        <v>594</v>
      </c>
    </row>
    <row r="84" spans="2:4" ht="15" customHeight="1" x14ac:dyDescent="0.2">
      <c r="B84" s="413">
        <v>84</v>
      </c>
      <c r="C84" s="415" t="s">
        <v>496</v>
      </c>
      <c r="D84" s="415" t="s">
        <v>595</v>
      </c>
    </row>
    <row r="85" spans="2:4" ht="15" customHeight="1" x14ac:dyDescent="0.2">
      <c r="B85" s="413">
        <v>85</v>
      </c>
      <c r="C85" s="415" t="s">
        <v>497</v>
      </c>
      <c r="D85" s="415" t="s">
        <v>596</v>
      </c>
    </row>
    <row r="86" spans="2:4" ht="15" customHeight="1" x14ac:dyDescent="0.2">
      <c r="B86" s="413">
        <v>86</v>
      </c>
      <c r="C86" s="415" t="s">
        <v>498</v>
      </c>
      <c r="D86" s="415" t="s">
        <v>597</v>
      </c>
    </row>
    <row r="87" spans="2:4" ht="15" customHeight="1" x14ac:dyDescent="0.2">
      <c r="B87" s="413">
        <v>87</v>
      </c>
      <c r="C87" s="415" t="s">
        <v>499</v>
      </c>
      <c r="D87" s="415" t="s">
        <v>598</v>
      </c>
    </row>
    <row r="88" spans="2:4" ht="15" customHeight="1" x14ac:dyDescent="0.2">
      <c r="B88" s="413">
        <v>88</v>
      </c>
      <c r="C88" s="415" t="s">
        <v>500</v>
      </c>
      <c r="D88" s="415" t="s">
        <v>599</v>
      </c>
    </row>
    <row r="89" spans="2:4" ht="15" customHeight="1" x14ac:dyDescent="0.2">
      <c r="B89" s="413">
        <v>89</v>
      </c>
      <c r="C89" s="415" t="s">
        <v>501</v>
      </c>
      <c r="D89" s="415" t="s">
        <v>600</v>
      </c>
    </row>
    <row r="90" spans="2:4" ht="15" customHeight="1" x14ac:dyDescent="0.2">
      <c r="B90" s="413">
        <v>90</v>
      </c>
      <c r="C90" s="415" t="s">
        <v>502</v>
      </c>
      <c r="D90" s="415" t="s">
        <v>601</v>
      </c>
    </row>
    <row r="91" spans="2:4" ht="15" customHeight="1" x14ac:dyDescent="0.2">
      <c r="B91" s="413">
        <v>91</v>
      </c>
      <c r="C91" s="415" t="s">
        <v>503</v>
      </c>
      <c r="D91" s="415" t="s">
        <v>602</v>
      </c>
    </row>
    <row r="92" spans="2:4" ht="15" customHeight="1" x14ac:dyDescent="0.2">
      <c r="B92" s="413">
        <v>92</v>
      </c>
      <c r="C92" s="415" t="s">
        <v>504</v>
      </c>
      <c r="D92" s="415" t="s">
        <v>603</v>
      </c>
    </row>
    <row r="93" spans="2:4" ht="15" customHeight="1" x14ac:dyDescent="0.2">
      <c r="B93" s="413">
        <v>93</v>
      </c>
      <c r="C93" s="415" t="s">
        <v>505</v>
      </c>
      <c r="D93" s="415" t="s">
        <v>604</v>
      </c>
    </row>
    <row r="94" spans="2:4" ht="15" customHeight="1" x14ac:dyDescent="0.2">
      <c r="B94" s="413">
        <v>94</v>
      </c>
      <c r="C94" s="415" t="s">
        <v>506</v>
      </c>
      <c r="D94" s="415" t="s">
        <v>605</v>
      </c>
    </row>
    <row r="95" spans="2:4" ht="15" customHeight="1" x14ac:dyDescent="0.2">
      <c r="B95" s="413">
        <v>95</v>
      </c>
      <c r="C95" s="415" t="s">
        <v>507</v>
      </c>
      <c r="D95" s="415" t="s">
        <v>606</v>
      </c>
    </row>
    <row r="96" spans="2:4" ht="15" customHeight="1" x14ac:dyDescent="0.2">
      <c r="B96" s="413">
        <v>96</v>
      </c>
      <c r="C96" s="415" t="s">
        <v>508</v>
      </c>
      <c r="D96" s="415" t="s">
        <v>607</v>
      </c>
    </row>
    <row r="97" spans="2:4" ht="15" customHeight="1" x14ac:dyDescent="0.2">
      <c r="B97" s="413">
        <v>97</v>
      </c>
      <c r="C97" s="415" t="s">
        <v>509</v>
      </c>
      <c r="D97" s="415" t="s">
        <v>608</v>
      </c>
    </row>
    <row r="98" spans="2:4" ht="15" customHeight="1" x14ac:dyDescent="0.2">
      <c r="B98" s="413">
        <v>98</v>
      </c>
      <c r="C98" s="415" t="s">
        <v>510</v>
      </c>
      <c r="D98" s="415" t="s">
        <v>609</v>
      </c>
    </row>
    <row r="99" spans="2:4" ht="15" customHeight="1" x14ac:dyDescent="0.2">
      <c r="B99" s="430">
        <v>99</v>
      </c>
      <c r="C99" s="431" t="s">
        <v>511</v>
      </c>
      <c r="D99" s="431" t="s">
        <v>610</v>
      </c>
    </row>
    <row r="100" spans="2:4" ht="15" customHeight="1" x14ac:dyDescent="0.15"/>
  </sheetData>
  <sheetProtection algorithmName="SHA-512" hashValue="mZBxJYmr4S2NZl2WRXjG05bdhMuEX3jwPhvcnHAGGXhKAj68BU80kSo6yWlazKycI5fBaD6fsrKHIrvNjwN0+Q==" saltValue="hfgxFXoxOd7Bug9paYJ8Gg==" spinCount="100000" sheet="1" objects="1" scenarios="1" selectLockedCells="1" selectUnlockedCells="1"/>
  <mergeCells count="2">
    <mergeCell ref="E13:H14"/>
    <mergeCell ref="E19:H21"/>
  </mergeCells>
  <pageMargins left="0.74791666666666701" right="0.74791666666666701" top="0.98402777777777795" bottom="0.9840277777777779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29</vt:i4>
      </vt:variant>
    </vt:vector>
  </HeadingPairs>
  <TitlesOfParts>
    <vt:vector size="38" baseType="lpstr">
      <vt:lpstr>INFO</vt:lpstr>
      <vt:lpstr>ANNEXURE I</vt:lpstr>
      <vt:lpstr>ANNEXURE II</vt:lpstr>
      <vt:lpstr>FORM16_FRONT</vt:lpstr>
      <vt:lpstr>FORM16_BACK</vt:lpstr>
      <vt:lpstr>FORM_12BB</vt:lpstr>
      <vt:lpstr>RENT RECEIPT</vt:lpstr>
      <vt:lpstr>NUM_WORD_RENT</vt:lpstr>
      <vt:lpstr>NUM_WORD_TAX</vt:lpstr>
      <vt:lpstr>AAS</vt:lpstr>
      <vt:lpstr>AHRA_MONTHS</vt:lpstr>
      <vt:lpstr>APGLI</vt:lpstr>
      <vt:lpstr>BASIC_PAY</vt:lpstr>
      <vt:lpstr>CCA</vt:lpstr>
      <vt:lpstr>DAYS</vt:lpstr>
      <vt:lpstr>DAYS_30</vt:lpstr>
      <vt:lpstr>DDO</vt:lpstr>
      <vt:lpstr>DESIGNATION</vt:lpstr>
      <vt:lpstr>DISTRICT</vt:lpstr>
      <vt:lpstr>EHS</vt:lpstr>
      <vt:lpstr>EL</vt:lpstr>
      <vt:lpstr>EMP_TYPE</vt:lpstr>
      <vt:lpstr>EMPTY</vt:lpstr>
      <vt:lpstr>GIS</vt:lpstr>
      <vt:lpstr>HMA</vt:lpstr>
      <vt:lpstr>HPL</vt:lpstr>
      <vt:lpstr>HRA</vt:lpstr>
      <vt:lpstr>HRA_NO_CHANGE</vt:lpstr>
      <vt:lpstr>INC_MONTHS</vt:lpstr>
      <vt:lpstr>MONTHS</vt:lpstr>
      <vt:lpstr>MONTHS_EL</vt:lpstr>
      <vt:lpstr>OFFICE</vt:lpstr>
      <vt:lpstr>P.TAX</vt:lpstr>
      <vt:lpstr>INFO!PRINT_INFO</vt:lpstr>
      <vt:lpstr>RA</vt:lpstr>
      <vt:lpstr>RENT</vt:lpstr>
      <vt:lpstr>SAVINGS_OTHERS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PERUMAL</dc:creator>
  <cp:lastModifiedBy>PERUMAL .</cp:lastModifiedBy>
  <cp:lastPrinted>2017-12-09T15:51:25Z</cp:lastPrinted>
  <dcterms:created xsi:type="dcterms:W3CDTF">2017-03-10T12:40:24Z</dcterms:created>
  <dcterms:modified xsi:type="dcterms:W3CDTF">2017-12-18T14:55:43Z</dcterms:modified>
  <cp:contentStatus/>
</cp:coreProperties>
</file>